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0" windowWidth="11595" windowHeight="7920" tabRatio="899"/>
  </bookViews>
  <sheets>
    <sheet name="Intro" sheetId="14" r:id="rId1"/>
    <sheet name="Radicals" sheetId="3" r:id="rId2"/>
    <sheet name="Words" sheetId="4" r:id="rId3"/>
    <sheet name="Lexitree" sheetId="18" r:id="rId4"/>
    <sheet name="Correl Conjug" sheetId="12" r:id="rId5"/>
    <sheet name="Numbers" sheetId="8" r:id="rId6"/>
    <sheet name="Larasem" sheetId="21" r:id="rId7"/>
    <sheet name="Sentences" sheetId="11" r:id="rId8"/>
    <sheet name="Text" sheetId="19" r:id="rId9"/>
    <sheet name="Performance" sheetId="13" r:id="rId10"/>
    <sheet name="Tables" sheetId="7" r:id="rId11"/>
    <sheet name="Esperanto" sheetId="5" r:id="rId12"/>
  </sheets>
  <definedNames>
    <definedName name="_xlnm._FilterDatabase" localSheetId="9" hidden="1">Performance!$B$7:$H$7</definedName>
    <definedName name="_xlnm._FilterDatabase" localSheetId="2" hidden="1">Radicals!$S$4:$T$4</definedName>
    <definedName name="Action">Radicals!$T$74</definedName>
    <definedName name="Action.">Radicals!$T$117</definedName>
    <definedName name="Author">Radicals!$T$70</definedName>
    <definedName name="Belong">Radicals!$T$19</definedName>
    <definedName name="Belong.">Radicals!$T$107</definedName>
    <definedName name="Body">Radicals!$T$57</definedName>
    <definedName name="Call">Radicals!$T$8</definedName>
    <definedName name="Choice">Radicals!$T$66</definedName>
    <definedName name="Combination">Radicals!$T$46</definedName>
    <definedName name="Condition">Radicals!$T$69</definedName>
    <definedName name="Condition.">Radicals!$T$111</definedName>
    <definedName name="Connection">Radicals!$T$91</definedName>
    <definedName name="Contribution">Radicals!$T$47</definedName>
    <definedName name="Cosmos">Radicals!$T$14</definedName>
    <definedName name="Cross">Radicals!$T$48</definedName>
    <definedName name="Cycle">Radicals!$T$45</definedName>
    <definedName name="Electricity">Radicals!$T$82</definedName>
    <definedName name="Element">Radicals!$T$104</definedName>
    <definedName name="Element.">Radicals!$T$115</definedName>
    <definedName name="Equality">Radicals!$T$88</definedName>
    <definedName name="Existence">Radicals!$T$22</definedName>
    <definedName name="Female">Radicals!$T$52</definedName>
    <definedName name="Gas">Radicals!$T$40</definedName>
    <definedName name="Good">Radicals!$T$11</definedName>
    <definedName name="Group">Radicals!$T$99</definedName>
    <definedName name="Group.">Radicals!$T$114</definedName>
    <definedName name="Heart">Radicals!$T$56</definedName>
    <definedName name="Human">Radicals!$T$53</definedName>
    <definedName name="Hypothese">Radicals!$T$69</definedName>
    <definedName name="Hypothese.">Radicals!$T$111</definedName>
    <definedName name="Information">Radicals!$T$9</definedName>
    <definedName name="Inside">Radicals!$T$86</definedName>
    <definedName name="Inversion">Radicals!$T$5</definedName>
    <definedName name="JOKER">Radicals!$T$79</definedName>
    <definedName name="JOKER.">Radicals!$T$112</definedName>
    <definedName name="Joker_Initial">Radicals!$T$121</definedName>
    <definedName name="Law">Radicals!$T$65</definedName>
    <definedName name="Life">Radicals!$T$51</definedName>
    <definedName name="Light">Radicals!$T$12</definedName>
    <definedName name="Liquid">Radicals!$T$50</definedName>
    <definedName name="Magnitude">Radicals!$T$97</definedName>
    <definedName name="Manner">Radicals!$T$44</definedName>
    <definedName name="Manner.">Radicals!$T$109</definedName>
    <definedName name="Me">Radicals!$T$85</definedName>
    <definedName name="Mind">Radicals!$T$55</definedName>
    <definedName name="More">Radicals!$T$96</definedName>
    <definedName name="Negation">Radicals!$T$6</definedName>
    <definedName name="Neutrality">Radicals!$T$62</definedName>
    <definedName name="New">Radicals!$T$17</definedName>
    <definedName name="Objet">Radicals!$T$94</definedName>
    <definedName name="Objet.">Radicals!$T$120</definedName>
    <definedName name="Origin">Radicals!$T$18</definedName>
    <definedName name="pa">Radicals!$T$6:$T$121</definedName>
    <definedName name="Past">Radicals!$T$59</definedName>
    <definedName name="Past.">Radicals!$T$119</definedName>
    <definedName name="Power">Radicals!$T$71</definedName>
    <definedName name="Property">Radicals!$T$39</definedName>
    <definedName name="Property.">Radicals!$T$108</definedName>
    <definedName name="Proximity">Radicals!$T$87</definedName>
    <definedName name="Quality">Radicals!$T$38</definedName>
    <definedName name="Quantity">Radicals!$T$98</definedName>
    <definedName name="Question">Radicals!$T$67</definedName>
    <definedName name="Reciprocal">Radicals!$T$95</definedName>
    <definedName name="Relation">Radicals!$T$32</definedName>
    <definedName name="Satisfaction">Radicals!$T$10</definedName>
    <definedName name="Self">Radicals!$T$100</definedName>
    <definedName name="Show">Radicals!$T$92</definedName>
    <definedName name="Solid">Radicals!$T$25</definedName>
    <definedName name="Sound">Radicals!$T$7</definedName>
    <definedName name="Space">Radicals!$T$80</definedName>
    <definedName name="Thing">Radicals!$T$89</definedName>
    <definedName name="Thing.">Radicals!$T$113</definedName>
    <definedName name="Time">Radicals!$T$84</definedName>
    <definedName name="Time.">Radicals!$T$118</definedName>
    <definedName name="Tool">Radicals!$T$29</definedName>
    <definedName name="Tool.">Radicals!$T$106</definedName>
    <definedName name="Transcendance">Radicals!$T$37</definedName>
    <definedName name="Trend">Radicals!$T$49</definedName>
    <definedName name="Trend.">Radicals!$T$110</definedName>
    <definedName name="Value">Radicals!$T$13</definedName>
    <definedName name="Whole">Radicals!$T$102</definedName>
    <definedName name="Will">Radicals!$T$54</definedName>
    <definedName name="Will.">Radicals!$T$116</definedName>
    <definedName name="You">Radicals!$T$90</definedName>
  </definedNames>
  <calcPr calcId="125725"/>
</workbook>
</file>

<file path=xl/calcChain.xml><?xml version="1.0" encoding="utf-8"?>
<calcChain xmlns="http://schemas.openxmlformats.org/spreadsheetml/2006/main">
  <c r="M31" i="14"/>
  <c r="M30"/>
  <c r="N30"/>
  <c r="M23"/>
  <c r="N26"/>
  <c r="N27"/>
  <c r="N28"/>
  <c r="N29"/>
  <c r="M29"/>
  <c r="M28"/>
  <c r="M27"/>
  <c r="M26"/>
  <c r="N25"/>
  <c r="M25"/>
  <c r="D33" i="5" l="1"/>
  <c r="D32"/>
  <c r="D31"/>
  <c r="A184" i="4"/>
  <c r="B180"/>
  <c r="G180" s="1"/>
  <c r="F69" i="13" s="1"/>
  <c r="G69" s="1"/>
  <c r="H69" s="1"/>
  <c r="D25" i="12"/>
  <c r="A4"/>
  <c r="F14"/>
  <c r="F13"/>
  <c r="F11"/>
  <c r="F10"/>
  <c r="F9"/>
  <c r="F8"/>
  <c r="F7"/>
  <c r="G32"/>
  <c r="C10"/>
  <c r="D20" i="5"/>
  <c r="D24"/>
  <c r="G17" i="13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4"/>
  <c r="H64"/>
  <c r="G65"/>
  <c r="H65"/>
  <c r="G66"/>
  <c r="H66"/>
  <c r="B2" i="21"/>
  <c r="C2"/>
  <c r="AA126"/>
  <c r="D2"/>
  <c r="E2"/>
  <c r="G2"/>
  <c r="AD126"/>
  <c r="H2"/>
  <c r="AE126"/>
  <c r="I2"/>
  <c r="J2"/>
  <c r="L2"/>
  <c r="M2"/>
  <c r="AI126" s="1"/>
  <c r="O2"/>
  <c r="B3"/>
  <c r="B4"/>
  <c r="C4"/>
  <c r="R5" s="1"/>
  <c r="D4"/>
  <c r="E4"/>
  <c r="R25"/>
  <c r="G4"/>
  <c r="R35"/>
  <c r="H4"/>
  <c r="I4"/>
  <c r="J4"/>
  <c r="R65"/>
  <c r="L4"/>
  <c r="R85"/>
  <c r="M4"/>
  <c r="O4"/>
  <c r="B5"/>
  <c r="T5"/>
  <c r="B6"/>
  <c r="C6"/>
  <c r="R6"/>
  <c r="D6"/>
  <c r="R16"/>
  <c r="E6"/>
  <c r="G6"/>
  <c r="H6"/>
  <c r="I6"/>
  <c r="R56" s="1"/>
  <c r="J6"/>
  <c r="L6"/>
  <c r="M6"/>
  <c r="R96" s="1"/>
  <c r="O6"/>
  <c r="T6"/>
  <c r="B7"/>
  <c r="T7"/>
  <c r="B8"/>
  <c r="C8"/>
  <c r="R7" s="1"/>
  <c r="D8"/>
  <c r="R17"/>
  <c r="E8"/>
  <c r="G8"/>
  <c r="H8"/>
  <c r="I8"/>
  <c r="J8"/>
  <c r="R67"/>
  <c r="L8"/>
  <c r="M8"/>
  <c r="O8"/>
  <c r="R77"/>
  <c r="T8"/>
  <c r="B9"/>
  <c r="T9"/>
  <c r="B10"/>
  <c r="C10"/>
  <c r="R8" s="1"/>
  <c r="D10"/>
  <c r="E10"/>
  <c r="R28"/>
  <c r="G10"/>
  <c r="H10"/>
  <c r="I10"/>
  <c r="R58"/>
  <c r="J10"/>
  <c r="L10"/>
  <c r="M10"/>
  <c r="R98"/>
  <c r="O10"/>
  <c r="T10"/>
  <c r="B11"/>
  <c r="T11"/>
  <c r="B12"/>
  <c r="C12"/>
  <c r="R9" s="1"/>
  <c r="D12"/>
  <c r="R19"/>
  <c r="E12"/>
  <c r="G12"/>
  <c r="H12"/>
  <c r="I12"/>
  <c r="R59" s="1"/>
  <c r="J12"/>
  <c r="R69" s="1"/>
  <c r="L12"/>
  <c r="M12"/>
  <c r="O12"/>
  <c r="R79" s="1"/>
  <c r="T12"/>
  <c r="T13"/>
  <c r="B14"/>
  <c r="C14"/>
  <c r="D14"/>
  <c r="AB137" s="1"/>
  <c r="E14"/>
  <c r="G14"/>
  <c r="H14"/>
  <c r="I14"/>
  <c r="AF137" s="1"/>
  <c r="J14"/>
  <c r="AG137"/>
  <c r="L14"/>
  <c r="AH137" s="1"/>
  <c r="M14"/>
  <c r="O14"/>
  <c r="AJ137"/>
  <c r="T14"/>
  <c r="B15"/>
  <c r="R15"/>
  <c r="T15"/>
  <c r="B16"/>
  <c r="C16"/>
  <c r="R10" s="1"/>
  <c r="D16"/>
  <c r="E16"/>
  <c r="R30" s="1"/>
  <c r="G16"/>
  <c r="R40"/>
  <c r="H16"/>
  <c r="R50" s="1"/>
  <c r="I16"/>
  <c r="R60" s="1"/>
  <c r="J16"/>
  <c r="L16"/>
  <c r="R90" s="1"/>
  <c r="M16"/>
  <c r="O16"/>
  <c r="T16"/>
  <c r="B17"/>
  <c r="T17"/>
  <c r="B18"/>
  <c r="C18"/>
  <c r="R11" s="1"/>
  <c r="D18"/>
  <c r="R21" s="1"/>
  <c r="E18"/>
  <c r="R31" s="1"/>
  <c r="G18"/>
  <c r="H18"/>
  <c r="R51" s="1"/>
  <c r="I18"/>
  <c r="R61" s="1"/>
  <c r="J18"/>
  <c r="R71"/>
  <c r="L18"/>
  <c r="M18"/>
  <c r="O18"/>
  <c r="R18"/>
  <c r="T18"/>
  <c r="B19"/>
  <c r="T19"/>
  <c r="B20"/>
  <c r="C20"/>
  <c r="R12" s="1"/>
  <c r="D20"/>
  <c r="E20"/>
  <c r="R32"/>
  <c r="G20"/>
  <c r="R42" s="1"/>
  <c r="H20"/>
  <c r="I20"/>
  <c r="R62" s="1"/>
  <c r="J20"/>
  <c r="R72" s="1"/>
  <c r="L20"/>
  <c r="R92"/>
  <c r="M20"/>
  <c r="O20"/>
  <c r="R20"/>
  <c r="T20"/>
  <c r="B21"/>
  <c r="T21"/>
  <c r="B22"/>
  <c r="C22"/>
  <c r="R13" s="1"/>
  <c r="D22"/>
  <c r="E22"/>
  <c r="G22"/>
  <c r="R43" s="1"/>
  <c r="H22"/>
  <c r="I22"/>
  <c r="R63"/>
  <c r="J22"/>
  <c r="R73" s="1"/>
  <c r="L22"/>
  <c r="M22"/>
  <c r="O22"/>
  <c r="R83" s="1"/>
  <c r="R22"/>
  <c r="T22"/>
  <c r="B23"/>
  <c r="R23"/>
  <c r="T23"/>
  <c r="B24"/>
  <c r="C24"/>
  <c r="R14" s="1"/>
  <c r="D24"/>
  <c r="E24"/>
  <c r="R34"/>
  <c r="G24"/>
  <c r="R44" s="1"/>
  <c r="H24"/>
  <c r="I24"/>
  <c r="J24"/>
  <c r="L24"/>
  <c r="R94" s="1"/>
  <c r="M24"/>
  <c r="O24"/>
  <c r="R24"/>
  <c r="T24"/>
  <c r="T25"/>
  <c r="R26"/>
  <c r="T26"/>
  <c r="R27"/>
  <c r="T27"/>
  <c r="T28"/>
  <c r="R29"/>
  <c r="T29"/>
  <c r="T30"/>
  <c r="T31"/>
  <c r="T32"/>
  <c r="R33"/>
  <c r="T33"/>
  <c r="T34"/>
  <c r="T35"/>
  <c r="R36"/>
  <c r="T36"/>
  <c r="R37"/>
  <c r="T37"/>
  <c r="R38"/>
  <c r="T38"/>
  <c r="R39"/>
  <c r="T39"/>
  <c r="T40"/>
  <c r="R41"/>
  <c r="T41"/>
  <c r="T42"/>
  <c r="T43"/>
  <c r="T44"/>
  <c r="R45"/>
  <c r="T45"/>
  <c r="R46"/>
  <c r="T46"/>
  <c r="R47"/>
  <c r="T47"/>
  <c r="R48"/>
  <c r="T48"/>
  <c r="R49"/>
  <c r="T49"/>
  <c r="T50"/>
  <c r="T51"/>
  <c r="R52"/>
  <c r="T52"/>
  <c r="R53"/>
  <c r="T53"/>
  <c r="R54"/>
  <c r="T54"/>
  <c r="R55"/>
  <c r="T55"/>
  <c r="T56"/>
  <c r="R57"/>
  <c r="T57"/>
  <c r="T58"/>
  <c r="T59"/>
  <c r="T60"/>
  <c r="T61"/>
  <c r="T62"/>
  <c r="T63"/>
  <c r="R64"/>
  <c r="T64"/>
  <c r="T65"/>
  <c r="R66"/>
  <c r="T66"/>
  <c r="T67"/>
  <c r="R68"/>
  <c r="T68"/>
  <c r="T69"/>
  <c r="R70"/>
  <c r="T70"/>
  <c r="T71"/>
  <c r="T72"/>
  <c r="T73"/>
  <c r="R74"/>
  <c r="T74"/>
  <c r="R75"/>
  <c r="T75"/>
  <c r="R76"/>
  <c r="T76"/>
  <c r="T77"/>
  <c r="R78"/>
  <c r="T78"/>
  <c r="T79"/>
  <c r="R80"/>
  <c r="T80"/>
  <c r="R81"/>
  <c r="T81"/>
  <c r="R82"/>
  <c r="T82"/>
  <c r="T83"/>
  <c r="R84"/>
  <c r="T84"/>
  <c r="T85"/>
  <c r="R86"/>
  <c r="T86"/>
  <c r="R87"/>
  <c r="T87"/>
  <c r="R88"/>
  <c r="T88"/>
  <c r="R89"/>
  <c r="T89"/>
  <c r="T90"/>
  <c r="R91"/>
  <c r="T91"/>
  <c r="T92"/>
  <c r="R93"/>
  <c r="T93"/>
  <c r="T94"/>
  <c r="R95"/>
  <c r="T95"/>
  <c r="T96"/>
  <c r="R97"/>
  <c r="T97"/>
  <c r="T98"/>
  <c r="R99"/>
  <c r="T99"/>
  <c r="R100"/>
  <c r="T100"/>
  <c r="R101"/>
  <c r="T101"/>
  <c r="R102"/>
  <c r="T102"/>
  <c r="R103"/>
  <c r="T103"/>
  <c r="R104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Z126"/>
  <c r="AB126"/>
  <c r="AC126"/>
  <c r="AF126"/>
  <c r="AG126"/>
  <c r="AH126"/>
  <c r="AJ126"/>
  <c r="Z127"/>
  <c r="AK127" s="1"/>
  <c r="AA127"/>
  <c r="AB127"/>
  <c r="AC127"/>
  <c r="AD127"/>
  <c r="AE127"/>
  <c r="AF127"/>
  <c r="AG127"/>
  <c r="AH127"/>
  <c r="AI127"/>
  <c r="AJ127"/>
  <c r="Z128"/>
  <c r="AK128" s="1"/>
  <c r="AA128"/>
  <c r="AB128"/>
  <c r="AC128"/>
  <c r="AD128"/>
  <c r="AE128"/>
  <c r="AF128"/>
  <c r="AG128"/>
  <c r="AH128"/>
  <c r="AI128"/>
  <c r="AJ128"/>
  <c r="Z129"/>
  <c r="AK129" s="1"/>
  <c r="AA129"/>
  <c r="AB129"/>
  <c r="AC129"/>
  <c r="AD129"/>
  <c r="AE129"/>
  <c r="AF129"/>
  <c r="AG129"/>
  <c r="AH129"/>
  <c r="AI129"/>
  <c r="AJ129"/>
  <c r="Z130"/>
  <c r="AK130" s="1"/>
  <c r="AA130"/>
  <c r="AB130"/>
  <c r="AC130"/>
  <c r="AD130"/>
  <c r="AE130"/>
  <c r="AF130"/>
  <c r="AG130"/>
  <c r="AH130"/>
  <c r="AI130"/>
  <c r="AJ130"/>
  <c r="Z131"/>
  <c r="AK131" s="1"/>
  <c r="AA131"/>
  <c r="AB131"/>
  <c r="AC131"/>
  <c r="AD131"/>
  <c r="AE131"/>
  <c r="AF131"/>
  <c r="AG131"/>
  <c r="AH131"/>
  <c r="AI131"/>
  <c r="AJ131"/>
  <c r="Z132"/>
  <c r="AK132" s="1"/>
  <c r="AA132"/>
  <c r="AB132"/>
  <c r="AC132"/>
  <c r="AD132"/>
  <c r="AE132"/>
  <c r="AF132"/>
  <c r="AG132"/>
  <c r="AH132"/>
  <c r="AI132"/>
  <c r="AJ132"/>
  <c r="Z133"/>
  <c r="AK133" s="1"/>
  <c r="AA133"/>
  <c r="AB133"/>
  <c r="AC133"/>
  <c r="AD133"/>
  <c r="AE133"/>
  <c r="AF133"/>
  <c r="AG133"/>
  <c r="AH133"/>
  <c r="AI133"/>
  <c r="AJ133"/>
  <c r="Z134"/>
  <c r="AK134" s="1"/>
  <c r="AA134"/>
  <c r="AB134"/>
  <c r="AC134"/>
  <c r="AD134"/>
  <c r="AE134"/>
  <c r="AF134"/>
  <c r="AG134"/>
  <c r="AH134"/>
  <c r="AI134"/>
  <c r="AJ134"/>
  <c r="Z135"/>
  <c r="AK135" s="1"/>
  <c r="AA135"/>
  <c r="AB135"/>
  <c r="AC135"/>
  <c r="AD135"/>
  <c r="AE135"/>
  <c r="AF135"/>
  <c r="AG135"/>
  <c r="AH135"/>
  <c r="AI135"/>
  <c r="AJ135"/>
  <c r="Z136"/>
  <c r="AK136" s="1"/>
  <c r="AA136"/>
  <c r="AB136"/>
  <c r="AC136"/>
  <c r="AD136"/>
  <c r="AE136"/>
  <c r="AF136"/>
  <c r="AG136"/>
  <c r="AH136"/>
  <c r="AI136"/>
  <c r="AJ136"/>
  <c r="Z137"/>
  <c r="AA137"/>
  <c r="AC137"/>
  <c r="AD137"/>
  <c r="AE137"/>
  <c r="AI137"/>
  <c r="B5" i="8"/>
  <c r="M8" s="1"/>
  <c r="G9"/>
  <c r="I10"/>
  <c r="Q12"/>
  <c r="I13"/>
  <c r="E15"/>
  <c r="O15"/>
  <c r="F24"/>
  <c r="H24"/>
  <c r="J24"/>
  <c r="L24"/>
  <c r="N24"/>
  <c r="P24"/>
  <c r="R24"/>
  <c r="T24"/>
  <c r="F25"/>
  <c r="H25"/>
  <c r="J25"/>
  <c r="L25"/>
  <c r="N25"/>
  <c r="P25"/>
  <c r="R25"/>
  <c r="S25"/>
  <c r="T25"/>
  <c r="F26"/>
  <c r="G26"/>
  <c r="H26"/>
  <c r="J26"/>
  <c r="L26"/>
  <c r="N26"/>
  <c r="O26"/>
  <c r="P26"/>
  <c r="R26"/>
  <c r="S26"/>
  <c r="T26"/>
  <c r="F27"/>
  <c r="H27"/>
  <c r="J27"/>
  <c r="L27"/>
  <c r="N27"/>
  <c r="P27"/>
  <c r="Q27"/>
  <c r="R27"/>
  <c r="T27"/>
  <c r="F28"/>
  <c r="H28"/>
  <c r="J28"/>
  <c r="L28"/>
  <c r="N28"/>
  <c r="P28"/>
  <c r="R28"/>
  <c r="T28"/>
  <c r="F29"/>
  <c r="H29"/>
  <c r="J29"/>
  <c r="L29"/>
  <c r="N29"/>
  <c r="O29"/>
  <c r="P29"/>
  <c r="R29"/>
  <c r="T29"/>
  <c r="F30"/>
  <c r="H30"/>
  <c r="J30"/>
  <c r="L30"/>
  <c r="N30"/>
  <c r="P30"/>
  <c r="R30"/>
  <c r="T30"/>
  <c r="E31"/>
  <c r="F31"/>
  <c r="H31"/>
  <c r="J31"/>
  <c r="L31"/>
  <c r="N31"/>
  <c r="P31"/>
  <c r="R31"/>
  <c r="T31"/>
  <c r="F32"/>
  <c r="H32"/>
  <c r="J32"/>
  <c r="L32"/>
  <c r="N32"/>
  <c r="P32"/>
  <c r="R32"/>
  <c r="T32"/>
  <c r="J13" i="18"/>
  <c r="J15"/>
  <c r="J16"/>
  <c r="J17"/>
  <c r="J18"/>
  <c r="J19"/>
  <c r="J20"/>
  <c r="J21"/>
  <c r="E2" i="4"/>
  <c r="I2"/>
  <c r="A6"/>
  <c r="A8"/>
  <c r="A10"/>
  <c r="A12"/>
  <c r="A14"/>
  <c r="A19"/>
  <c r="A25"/>
  <c r="A27"/>
  <c r="A29"/>
  <c r="A32"/>
  <c r="A35"/>
  <c r="A40"/>
  <c r="A45"/>
  <c r="A47"/>
  <c r="A51"/>
  <c r="A52"/>
  <c r="A60"/>
  <c r="A63"/>
  <c r="A64"/>
  <c r="A65"/>
  <c r="A89"/>
  <c r="A90"/>
  <c r="A91"/>
  <c r="A104"/>
  <c r="A105"/>
  <c r="A107"/>
  <c r="A113"/>
  <c r="A117"/>
  <c r="A130"/>
  <c r="A132"/>
  <c r="A133"/>
  <c r="A134"/>
  <c r="A138"/>
  <c r="A141"/>
  <c r="A146"/>
  <c r="A158"/>
  <c r="A159"/>
  <c r="A162"/>
  <c r="A166"/>
  <c r="A167"/>
  <c r="A168"/>
  <c r="A172"/>
  <c r="A175"/>
  <c r="A176"/>
  <c r="A177"/>
  <c r="A185"/>
  <c r="A186"/>
  <c r="A194"/>
  <c r="A195"/>
  <c r="A1" i="3"/>
  <c r="D3"/>
  <c r="E3"/>
  <c r="F3"/>
  <c r="H3"/>
  <c r="I3"/>
  <c r="J3"/>
  <c r="K3"/>
  <c r="M3"/>
  <c r="N3"/>
  <c r="P3"/>
  <c r="U3"/>
  <c r="U4"/>
  <c r="D5"/>
  <c r="E5"/>
  <c r="F5"/>
  <c r="H5"/>
  <c r="I5"/>
  <c r="J5"/>
  <c r="K5"/>
  <c r="M5"/>
  <c r="N5"/>
  <c r="P5"/>
  <c r="S5"/>
  <c r="T5"/>
  <c r="G292" i="4" s="1"/>
  <c r="U5" i="3"/>
  <c r="S6"/>
  <c r="T6"/>
  <c r="B182" i="4" s="1"/>
  <c r="U6" i="3"/>
  <c r="D7"/>
  <c r="E7"/>
  <c r="F7"/>
  <c r="H7"/>
  <c r="I7"/>
  <c r="J7"/>
  <c r="K7"/>
  <c r="M7"/>
  <c r="N7"/>
  <c r="P7"/>
  <c r="S7"/>
  <c r="T7"/>
  <c r="U7"/>
  <c r="S8"/>
  <c r="T8"/>
  <c r="U8"/>
  <c r="D9"/>
  <c r="E9"/>
  <c r="F9"/>
  <c r="H9"/>
  <c r="I9"/>
  <c r="J9"/>
  <c r="K9"/>
  <c r="M9"/>
  <c r="N9"/>
  <c r="P9"/>
  <c r="S9"/>
  <c r="T9"/>
  <c r="U9"/>
  <c r="S10"/>
  <c r="T10"/>
  <c r="B155" i="4" s="1"/>
  <c r="U10" i="3"/>
  <c r="D11"/>
  <c r="E11"/>
  <c r="F11"/>
  <c r="H11"/>
  <c r="I11"/>
  <c r="J11"/>
  <c r="K11"/>
  <c r="M11"/>
  <c r="N11"/>
  <c r="P11"/>
  <c r="S11"/>
  <c r="T11"/>
  <c r="B151" i="4" s="1"/>
  <c r="U11" i="3"/>
  <c r="S12"/>
  <c r="T12"/>
  <c r="B235" i="4" s="1"/>
  <c r="U12" i="3"/>
  <c r="S13"/>
  <c r="T13"/>
  <c r="L7" i="19" s="1"/>
  <c r="U13" i="3"/>
  <c r="S14"/>
  <c r="T14"/>
  <c r="U14"/>
  <c r="D15"/>
  <c r="E15"/>
  <c r="F15"/>
  <c r="H15"/>
  <c r="I15"/>
  <c r="J15"/>
  <c r="K15"/>
  <c r="M15"/>
  <c r="N15"/>
  <c r="P15"/>
  <c r="S15"/>
  <c r="T15"/>
  <c r="U15"/>
  <c r="S16"/>
  <c r="T16"/>
  <c r="U16"/>
  <c r="D17"/>
  <c r="E17"/>
  <c r="F17"/>
  <c r="H17"/>
  <c r="I17"/>
  <c r="J17"/>
  <c r="K17"/>
  <c r="M17"/>
  <c r="N17"/>
  <c r="P17"/>
  <c r="S17"/>
  <c r="T17"/>
  <c r="I278" i="4" s="1"/>
  <c r="U17" i="3"/>
  <c r="S18"/>
  <c r="T18"/>
  <c r="J32" i="12" s="1"/>
  <c r="U18" i="3"/>
  <c r="D19"/>
  <c r="E19"/>
  <c r="F19"/>
  <c r="H19"/>
  <c r="I19"/>
  <c r="J19"/>
  <c r="K19"/>
  <c r="M19"/>
  <c r="N19"/>
  <c r="P19"/>
  <c r="S19"/>
  <c r="S107" s="1"/>
  <c r="T19"/>
  <c r="B93" i="4" s="1"/>
  <c r="U19" i="3"/>
  <c r="S20"/>
  <c r="T20"/>
  <c r="U20"/>
  <c r="D21"/>
  <c r="E21"/>
  <c r="F21"/>
  <c r="H21"/>
  <c r="I21"/>
  <c r="J21"/>
  <c r="K21"/>
  <c r="M21"/>
  <c r="N21"/>
  <c r="P21"/>
  <c r="S21"/>
  <c r="T21"/>
  <c r="U21"/>
  <c r="S22"/>
  <c r="T22"/>
  <c r="C37" i="12" s="1"/>
  <c r="U22" i="3"/>
  <c r="D23"/>
  <c r="E23"/>
  <c r="F23"/>
  <c r="H23"/>
  <c r="I23"/>
  <c r="J23"/>
  <c r="K23"/>
  <c r="M23"/>
  <c r="N23"/>
  <c r="P23"/>
  <c r="S23"/>
  <c r="T23"/>
  <c r="U23"/>
  <c r="S24"/>
  <c r="T24"/>
  <c r="U24"/>
  <c r="S25"/>
  <c r="T25"/>
  <c r="U25"/>
  <c r="S26"/>
  <c r="T26"/>
  <c r="U26"/>
  <c r="S27"/>
  <c r="T27"/>
  <c r="U27"/>
  <c r="S28"/>
  <c r="T28"/>
  <c r="U28"/>
  <c r="S29"/>
  <c r="T29"/>
  <c r="U29"/>
  <c r="S30"/>
  <c r="T30"/>
  <c r="U30"/>
  <c r="S31"/>
  <c r="T31"/>
  <c r="U31"/>
  <c r="S32"/>
  <c r="T32"/>
  <c r="U32"/>
  <c r="S33"/>
  <c r="T33"/>
  <c r="U33"/>
  <c r="S34"/>
  <c r="T34"/>
  <c r="U34"/>
  <c r="S35"/>
  <c r="T35"/>
  <c r="U35"/>
  <c r="S36"/>
  <c r="T36"/>
  <c r="U36"/>
  <c r="S37"/>
  <c r="T37"/>
  <c r="B150" i="4" s="1"/>
  <c r="U37" i="3"/>
  <c r="S38"/>
  <c r="T38"/>
  <c r="B111" i="4" s="1"/>
  <c r="U38" i="3"/>
  <c r="S39"/>
  <c r="S108" s="1"/>
  <c r="T39"/>
  <c r="B67" i="4" s="1"/>
  <c r="U39" i="3"/>
  <c r="S40"/>
  <c r="T40"/>
  <c r="U40"/>
  <c r="S41"/>
  <c r="T41"/>
  <c r="U41"/>
  <c r="S42"/>
  <c r="T42"/>
  <c r="U42"/>
  <c r="S43"/>
  <c r="T43"/>
  <c r="U43"/>
  <c r="S44"/>
  <c r="T44"/>
  <c r="U44"/>
  <c r="S45"/>
  <c r="T45"/>
  <c r="U45"/>
  <c r="S46"/>
  <c r="T46"/>
  <c r="U46"/>
  <c r="S47"/>
  <c r="T47"/>
  <c r="B160" i="4" s="1"/>
  <c r="U47" i="3"/>
  <c r="S48"/>
  <c r="T48"/>
  <c r="K256" i="4" s="1"/>
  <c r="U48" i="3"/>
  <c r="S49"/>
  <c r="S110" s="1"/>
  <c r="T49"/>
  <c r="B61" i="4" s="1"/>
  <c r="U49" i="3"/>
  <c r="S50"/>
  <c r="T50"/>
  <c r="U50"/>
  <c r="S51"/>
  <c r="T51"/>
  <c r="U51"/>
  <c r="S52"/>
  <c r="T52"/>
  <c r="U52"/>
  <c r="S53"/>
  <c r="T53"/>
  <c r="C12" i="12" s="1"/>
  <c r="U53" i="3"/>
  <c r="S54"/>
  <c r="S116" s="1"/>
  <c r="T54"/>
  <c r="K32" i="12" s="1"/>
  <c r="U54" i="3"/>
  <c r="S55"/>
  <c r="T55"/>
  <c r="G12" i="18" s="1"/>
  <c r="U55" i="3"/>
  <c r="S56"/>
  <c r="T56"/>
  <c r="G11" i="18" s="1"/>
  <c r="J11" s="1"/>
  <c r="I11" s="1"/>
  <c r="U56" i="3"/>
  <c r="S57"/>
  <c r="T57"/>
  <c r="G10" i="18" s="1"/>
  <c r="U57" i="3"/>
  <c r="S58"/>
  <c r="T58"/>
  <c r="U58"/>
  <c r="S59"/>
  <c r="S119"/>
  <c r="T59"/>
  <c r="U59"/>
  <c r="S60"/>
  <c r="T60"/>
  <c r="U60"/>
  <c r="S61"/>
  <c r="T61"/>
  <c r="U61"/>
  <c r="S62"/>
  <c r="T62"/>
  <c r="P6" i="12" s="1"/>
  <c r="U62" i="3"/>
  <c r="S63"/>
  <c r="T63"/>
  <c r="U63"/>
  <c r="S64"/>
  <c r="T64"/>
  <c r="U64"/>
  <c r="S65"/>
  <c r="T65"/>
  <c r="B187" i="4"/>
  <c r="A187" s="1"/>
  <c r="U65" i="3"/>
  <c r="S66"/>
  <c r="T66"/>
  <c r="U66"/>
  <c r="S67"/>
  <c r="T67"/>
  <c r="C39" i="12" s="1"/>
  <c r="U67" i="3"/>
  <c r="S68"/>
  <c r="T68"/>
  <c r="U68"/>
  <c r="S69"/>
  <c r="S111" s="1"/>
  <c r="T69"/>
  <c r="U69"/>
  <c r="S70"/>
  <c r="T70"/>
  <c r="C313" i="4" s="1"/>
  <c r="U70" i="3"/>
  <c r="S71"/>
  <c r="T71"/>
  <c r="B179" i="4" s="1"/>
  <c r="U71" i="3"/>
  <c r="S72"/>
  <c r="T72"/>
  <c r="U72"/>
  <c r="S73"/>
  <c r="T73"/>
  <c r="U73"/>
  <c r="S74"/>
  <c r="S117" s="1"/>
  <c r="T74"/>
  <c r="U74"/>
  <c r="S75"/>
  <c r="T75"/>
  <c r="U75"/>
  <c r="S76"/>
  <c r="T76"/>
  <c r="U76"/>
  <c r="S77"/>
  <c r="T77"/>
  <c r="U77"/>
  <c r="S78"/>
  <c r="T78"/>
  <c r="U78"/>
  <c r="S79"/>
  <c r="T79"/>
  <c r="U79"/>
  <c r="S80"/>
  <c r="T80"/>
  <c r="E32" i="12" s="1"/>
  <c r="C252" i="4"/>
  <c r="U80" i="3"/>
  <c r="S81"/>
  <c r="T81"/>
  <c r="U81"/>
  <c r="S82"/>
  <c r="T82"/>
  <c r="U82"/>
  <c r="S83"/>
  <c r="T83"/>
  <c r="U83"/>
  <c r="S84"/>
  <c r="T84"/>
  <c r="F32" i="12" s="1"/>
  <c r="U84" i="3"/>
  <c r="S85"/>
  <c r="T85"/>
  <c r="U85"/>
  <c r="S86"/>
  <c r="T86"/>
  <c r="E289" i="4" s="1"/>
  <c r="U86" i="3"/>
  <c r="S87"/>
  <c r="T87"/>
  <c r="I302" i="4" s="1"/>
  <c r="U87" i="3"/>
  <c r="S88"/>
  <c r="T88"/>
  <c r="U88"/>
  <c r="S89"/>
  <c r="T89"/>
  <c r="D32" i="12" s="1"/>
  <c r="U89" i="3"/>
  <c r="S90"/>
  <c r="T90"/>
  <c r="U90"/>
  <c r="S91"/>
  <c r="T91"/>
  <c r="C41" i="12" s="1"/>
  <c r="U91" i="3"/>
  <c r="S92"/>
  <c r="T92"/>
  <c r="G35" i="12" s="1"/>
  <c r="U92" i="3"/>
  <c r="S93"/>
  <c r="T93"/>
  <c r="U93"/>
  <c r="S94"/>
  <c r="T94"/>
  <c r="B96" i="4" s="1"/>
  <c r="U94" i="3"/>
  <c r="S95"/>
  <c r="T95"/>
  <c r="U95"/>
  <c r="S96"/>
  <c r="T96"/>
  <c r="U96"/>
  <c r="S97"/>
  <c r="T97"/>
  <c r="B44" i="4"/>
  <c r="U97" i="3"/>
  <c r="S98"/>
  <c r="T98"/>
  <c r="U98"/>
  <c r="S99"/>
  <c r="T99"/>
  <c r="B31" i="4" s="1"/>
  <c r="U99" i="3"/>
  <c r="S100"/>
  <c r="T100"/>
  <c r="U100"/>
  <c r="S101"/>
  <c r="T101"/>
  <c r="U101"/>
  <c r="S102"/>
  <c r="T102"/>
  <c r="C43" i="12" s="1"/>
  <c r="U102" i="3"/>
  <c r="S103"/>
  <c r="T103"/>
  <c r="S104"/>
  <c r="S115" s="1"/>
  <c r="T104"/>
  <c r="B127" i="4"/>
  <c r="S106" i="3"/>
  <c r="T106"/>
  <c r="T107"/>
  <c r="T108"/>
  <c r="S109"/>
  <c r="T109"/>
  <c r="T110"/>
  <c r="B95" i="4" s="1"/>
  <c r="T111" i="3"/>
  <c r="S112"/>
  <c r="T112"/>
  <c r="S113"/>
  <c r="T113"/>
  <c r="C2" i="4" s="1"/>
  <c r="J10" i="19"/>
  <c r="S114" i="3"/>
  <c r="T114"/>
  <c r="H4" i="19" s="1"/>
  <c r="T116" i="3"/>
  <c r="D34" i="5"/>
  <c r="T117" i="3"/>
  <c r="G302" i="4" s="1"/>
  <c r="S118" i="3"/>
  <c r="T118"/>
  <c r="D28" i="5" s="1"/>
  <c r="T119" i="3"/>
  <c r="D30" i="5"/>
  <c r="S120" i="3"/>
  <c r="T120"/>
  <c r="D27" i="5"/>
  <c r="T121" i="3"/>
  <c r="A127" i="4"/>
  <c r="E127"/>
  <c r="A44"/>
  <c r="D23" i="5"/>
  <c r="G2" i="4"/>
  <c r="G278"/>
  <c r="D13" i="5"/>
  <c r="B112" i="4"/>
  <c r="B218"/>
  <c r="C218" s="1"/>
  <c r="B219"/>
  <c r="K19" i="5"/>
  <c r="F7" i="19"/>
  <c r="D22" i="5"/>
  <c r="V7" i="19"/>
  <c r="B13" i="4"/>
  <c r="B191"/>
  <c r="D19" i="5"/>
  <c r="B122" i="4"/>
  <c r="B126"/>
  <c r="E316"/>
  <c r="E322"/>
  <c r="C7" i="11"/>
  <c r="C8" s="1"/>
  <c r="C10"/>
  <c r="C11" s="1"/>
  <c r="B68" i="4"/>
  <c r="B80"/>
  <c r="G289"/>
  <c r="E5" i="18"/>
  <c r="C289" i="4"/>
  <c r="K289"/>
  <c r="D5" i="5"/>
  <c r="F10" i="19"/>
  <c r="C29" i="11"/>
  <c r="C30"/>
  <c r="D26" i="12"/>
  <c r="B7" i="4"/>
  <c r="G19" i="5"/>
  <c r="D21" i="12"/>
  <c r="C4" i="18"/>
  <c r="C5"/>
  <c r="B28" i="4"/>
  <c r="A28" s="1"/>
  <c r="D23" i="12"/>
  <c r="C295" i="4"/>
  <c r="C3" i="18"/>
  <c r="B229" i="4"/>
  <c r="G18" i="5"/>
  <c r="K18"/>
  <c r="D18"/>
  <c r="I18"/>
  <c r="B54" i="4"/>
  <c r="B46"/>
  <c r="C253"/>
  <c r="E313"/>
  <c r="G253"/>
  <c r="E312"/>
  <c r="E314"/>
  <c r="E318"/>
  <c r="E320"/>
  <c r="D21" i="5"/>
  <c r="C14" i="12"/>
  <c r="B169" i="4"/>
  <c r="B171"/>
  <c r="B173"/>
  <c r="B10" i="19"/>
  <c r="Z7"/>
  <c r="D4" i="5"/>
  <c r="AB7" i="19"/>
  <c r="B9" i="4"/>
  <c r="B100"/>
  <c r="X7" i="19"/>
  <c r="B22" i="4"/>
  <c r="B230"/>
  <c r="K4" i="5"/>
  <c r="B232" i="4"/>
  <c r="C232" s="1"/>
  <c r="C279"/>
  <c r="C304"/>
  <c r="B16"/>
  <c r="B30"/>
  <c r="R6" i="12"/>
  <c r="R12" s="1"/>
  <c r="B55" i="4"/>
  <c r="B189"/>
  <c r="B226"/>
  <c r="B120"/>
  <c r="C322"/>
  <c r="E319"/>
  <c r="C317"/>
  <c r="C314"/>
  <c r="E308"/>
  <c r="G294"/>
  <c r="I291"/>
  <c r="C290"/>
  <c r="C285"/>
  <c r="C275"/>
  <c r="E272"/>
  <c r="I270"/>
  <c r="G261"/>
  <c r="C256"/>
  <c r="G250"/>
  <c r="B227"/>
  <c r="B197"/>
  <c r="B190"/>
  <c r="K169"/>
  <c r="B125"/>
  <c r="B110"/>
  <c r="B85"/>
  <c r="B82"/>
  <c r="I5" i="5"/>
  <c r="D17"/>
  <c r="C302" i="4"/>
  <c r="J14" i="18"/>
  <c r="I14" s="1"/>
  <c r="D11" i="5"/>
  <c r="G41"/>
  <c r="B205" i="4"/>
  <c r="C205" s="1"/>
  <c r="B206"/>
  <c r="G14" i="5"/>
  <c r="B41" i="4"/>
  <c r="B43"/>
  <c r="B137"/>
  <c r="G137" s="1"/>
  <c r="B143"/>
  <c r="D7" i="5"/>
  <c r="C7" i="12"/>
  <c r="B5" i="4"/>
  <c r="B183"/>
  <c r="A183" s="1"/>
  <c r="B101"/>
  <c r="B116"/>
  <c r="B198"/>
  <c r="B66"/>
  <c r="C25" i="11"/>
  <c r="C26" s="1"/>
  <c r="B74" i="4"/>
  <c r="B76"/>
  <c r="B75"/>
  <c r="C3" i="11"/>
  <c r="C4"/>
  <c r="I187" i="4"/>
  <c r="E187"/>
  <c r="D7" i="19"/>
  <c r="L10"/>
  <c r="C11" i="12"/>
  <c r="C297" i="4"/>
  <c r="D5" i="18"/>
  <c r="D10"/>
  <c r="D11"/>
  <c r="D12"/>
  <c r="B17" i="4"/>
  <c r="G27"/>
  <c r="D14" i="5"/>
  <c r="D7" i="18"/>
  <c r="D8"/>
  <c r="D9"/>
  <c r="B23" i="4"/>
  <c r="B34"/>
  <c r="B38"/>
  <c r="I38" s="1"/>
  <c r="K53"/>
  <c r="K14" i="5"/>
  <c r="H10" i="19"/>
  <c r="D4" i="18"/>
  <c r="B53" i="4"/>
  <c r="G280"/>
  <c r="C291"/>
  <c r="K291"/>
  <c r="I292"/>
  <c r="B192"/>
  <c r="G291"/>
  <c r="E292"/>
  <c r="B142"/>
  <c r="B212"/>
  <c r="B214"/>
  <c r="C214" s="1"/>
  <c r="B216"/>
  <c r="K216" s="1"/>
  <c r="B144"/>
  <c r="B135"/>
  <c r="F9" i="18"/>
  <c r="F11"/>
  <c r="B106" i="4"/>
  <c r="B108"/>
  <c r="B118"/>
  <c r="B14" i="18"/>
  <c r="B16"/>
  <c r="B18"/>
  <c r="B20"/>
  <c r="B22"/>
  <c r="B59" i="4"/>
  <c r="A59" s="1"/>
  <c r="K59"/>
  <c r="B13" i="18"/>
  <c r="B15"/>
  <c r="B17"/>
  <c r="B19"/>
  <c r="B21"/>
  <c r="B24"/>
  <c r="B21" i="4"/>
  <c r="K21" s="1"/>
  <c r="B37"/>
  <c r="A37" s="1"/>
  <c r="D8" i="5"/>
  <c r="B136" i="4"/>
  <c r="E136" s="1"/>
  <c r="B215"/>
  <c r="C249"/>
  <c r="C251"/>
  <c r="I271"/>
  <c r="C276"/>
  <c r="E290"/>
  <c r="I303"/>
  <c r="K307"/>
  <c r="I309"/>
  <c r="D10" i="19"/>
  <c r="AD10" s="1"/>
  <c r="B23" i="18"/>
  <c r="B140" i="4"/>
  <c r="E140" s="1"/>
  <c r="B145"/>
  <c r="A145" s="1"/>
  <c r="B164"/>
  <c r="A164" s="1"/>
  <c r="B188"/>
  <c r="E188" s="1"/>
  <c r="C250"/>
  <c r="E271"/>
  <c r="G281"/>
  <c r="I290"/>
  <c r="E303"/>
  <c r="C307"/>
  <c r="C6" i="8"/>
  <c r="I7"/>
  <c r="Q7"/>
  <c r="G8"/>
  <c r="O8"/>
  <c r="E9"/>
  <c r="M9"/>
  <c r="C10"/>
  <c r="K10"/>
  <c r="S10"/>
  <c r="I11"/>
  <c r="Q11"/>
  <c r="G12"/>
  <c r="O12"/>
  <c r="E13"/>
  <c r="M13"/>
  <c r="C14"/>
  <c r="K14"/>
  <c r="S14"/>
  <c r="I15"/>
  <c r="Q15"/>
  <c r="E25"/>
  <c r="I25"/>
  <c r="M25"/>
  <c r="Q25"/>
  <c r="C26"/>
  <c r="G27"/>
  <c r="K27"/>
  <c r="O27"/>
  <c r="S27"/>
  <c r="E29"/>
  <c r="I29"/>
  <c r="M29"/>
  <c r="Q29"/>
  <c r="C30"/>
  <c r="G31"/>
  <c r="K31"/>
  <c r="O31"/>
  <c r="S31"/>
  <c r="C7"/>
  <c r="M7"/>
  <c r="E8"/>
  <c r="Q8"/>
  <c r="I9"/>
  <c r="S9"/>
  <c r="M10"/>
  <c r="E11"/>
  <c r="O11"/>
  <c r="I12"/>
  <c r="S12"/>
  <c r="K13"/>
  <c r="E14"/>
  <c r="O14"/>
  <c r="G15"/>
  <c r="S15"/>
  <c r="G24"/>
  <c r="K24"/>
  <c r="O24"/>
  <c r="S24"/>
  <c r="G25"/>
  <c r="E27"/>
  <c r="C28"/>
  <c r="S29"/>
  <c r="G30"/>
  <c r="K30"/>
  <c r="O30"/>
  <c r="S30"/>
  <c r="Q31"/>
  <c r="E32"/>
  <c r="I32"/>
  <c r="M32"/>
  <c r="Q32"/>
  <c r="G7"/>
  <c r="S7"/>
  <c r="K8"/>
  <c r="C9"/>
  <c r="O9"/>
  <c r="G10"/>
  <c r="Q10"/>
  <c r="K11"/>
  <c r="C12"/>
  <c r="M12"/>
  <c r="G13"/>
  <c r="Q13"/>
  <c r="I14"/>
  <c r="C15"/>
  <c r="M15"/>
  <c r="E24"/>
  <c r="I24"/>
  <c r="M24"/>
  <c r="Q24"/>
  <c r="C25"/>
  <c r="O25"/>
  <c r="M27"/>
  <c r="K29"/>
  <c r="E30"/>
  <c r="I30"/>
  <c r="M30"/>
  <c r="Q30"/>
  <c r="C31"/>
  <c r="I31"/>
  <c r="G32"/>
  <c r="K32"/>
  <c r="O32"/>
  <c r="S32"/>
  <c r="E7"/>
  <c r="I8"/>
  <c r="K9"/>
  <c r="O10"/>
  <c r="S11"/>
  <c r="C13"/>
  <c r="G14"/>
  <c r="K15"/>
  <c r="I27"/>
  <c r="E28"/>
  <c r="I28"/>
  <c r="M28"/>
  <c r="Q28"/>
  <c r="C29"/>
  <c r="M31"/>
  <c r="O7"/>
  <c r="S8"/>
  <c r="E10"/>
  <c r="G11"/>
  <c r="K12"/>
  <c r="O13"/>
  <c r="Q14"/>
  <c r="C24"/>
  <c r="K25"/>
  <c r="G28"/>
  <c r="K28"/>
  <c r="O28"/>
  <c r="S28"/>
  <c r="G29"/>
  <c r="C323" i="4"/>
  <c r="C320"/>
  <c r="E317"/>
  <c r="C315"/>
  <c r="E309"/>
  <c r="C305"/>
  <c r="C296"/>
  <c r="C292"/>
  <c r="G290"/>
  <c r="I285"/>
  <c r="C281"/>
  <c r="G276"/>
  <c r="K272"/>
  <c r="C271"/>
  <c r="C269"/>
  <c r="C262"/>
  <c r="G247"/>
  <c r="F14" i="13" s="1"/>
  <c r="G14" s="1"/>
  <c r="H14" s="1"/>
  <c r="B225" i="4"/>
  <c r="G187"/>
  <c r="G185"/>
  <c r="B174"/>
  <c r="B170"/>
  <c r="B157"/>
  <c r="B152"/>
  <c r="I152" s="1"/>
  <c r="B147"/>
  <c r="I147" s="1"/>
  <c r="B56"/>
  <c r="B42"/>
  <c r="B33"/>
  <c r="B26"/>
  <c r="C26" s="1"/>
  <c r="F12" i="18"/>
  <c r="I14" i="5"/>
  <c r="B24" i="4"/>
  <c r="B48"/>
  <c r="B57"/>
  <c r="B62"/>
  <c r="B99"/>
  <c r="D15" i="5"/>
  <c r="B50" i="4"/>
  <c r="B102"/>
  <c r="B124"/>
  <c r="C247"/>
  <c r="B49"/>
  <c r="B58"/>
  <c r="B98"/>
  <c r="B131"/>
  <c r="G293"/>
  <c r="B36"/>
  <c r="B222"/>
  <c r="T7" i="19"/>
  <c r="F6" i="12"/>
  <c r="F12" s="1"/>
  <c r="D6"/>
  <c r="B70" i="4"/>
  <c r="B72"/>
  <c r="B86"/>
  <c r="B71"/>
  <c r="B208"/>
  <c r="B241"/>
  <c r="C270"/>
  <c r="K270"/>
  <c r="G273"/>
  <c r="B204"/>
  <c r="B210"/>
  <c r="B237"/>
  <c r="G237" s="1"/>
  <c r="B238"/>
  <c r="I238" s="1"/>
  <c r="B239"/>
  <c r="I239" s="1"/>
  <c r="B243"/>
  <c r="C260"/>
  <c r="G270"/>
  <c r="C273"/>
  <c r="K273"/>
  <c r="C8" i="12"/>
  <c r="D6" i="5"/>
  <c r="B203" i="4"/>
  <c r="E203" s="1"/>
  <c r="C258"/>
  <c r="G272"/>
  <c r="C284"/>
  <c r="E285"/>
  <c r="C306"/>
  <c r="B165"/>
  <c r="E252"/>
  <c r="C257"/>
  <c r="G269"/>
  <c r="C272"/>
  <c r="I284"/>
  <c r="C17" i="11"/>
  <c r="C18" s="1"/>
  <c r="I4" i="5"/>
  <c r="G4"/>
  <c r="G256" i="4"/>
  <c r="K261"/>
  <c r="E262"/>
  <c r="C9" i="18"/>
  <c r="C6"/>
  <c r="C10"/>
  <c r="C12"/>
  <c r="B114" i="4"/>
  <c r="B129"/>
  <c r="H6" i="12"/>
  <c r="H7" s="1"/>
  <c r="B231" i="4"/>
  <c r="G231" s="1"/>
  <c r="D10" i="5"/>
  <c r="C13" i="12"/>
  <c r="B199" i="4"/>
  <c r="C199" s="1"/>
  <c r="C268"/>
  <c r="K268"/>
  <c r="G268"/>
  <c r="E306"/>
  <c r="E273"/>
  <c r="G271"/>
  <c r="K269"/>
  <c r="G262"/>
  <c r="G257"/>
  <c r="K252"/>
  <c r="G248"/>
  <c r="B242"/>
  <c r="B228"/>
  <c r="B128"/>
  <c r="F10" i="18"/>
  <c r="C7"/>
  <c r="C32" i="8"/>
  <c r="C27"/>
  <c r="Q26"/>
  <c r="M26"/>
  <c r="I26"/>
  <c r="E26"/>
  <c r="M14"/>
  <c r="E12"/>
  <c r="Q9"/>
  <c r="K7"/>
  <c r="D4" i="19"/>
  <c r="I19" i="5"/>
  <c r="E307" i="4"/>
  <c r="E284"/>
  <c r="I273"/>
  <c r="K271"/>
  <c r="E270"/>
  <c r="E268"/>
  <c r="C259"/>
  <c r="E253"/>
  <c r="G249"/>
  <c r="B240"/>
  <c r="I240" s="1"/>
  <c r="B220"/>
  <c r="B217"/>
  <c r="B209"/>
  <c r="C209" s="1"/>
  <c r="B181"/>
  <c r="I181" s="1"/>
  <c r="G145"/>
  <c r="B115"/>
  <c r="B87"/>
  <c r="C87" s="1"/>
  <c r="B84"/>
  <c r="B11"/>
  <c r="C11" i="18"/>
  <c r="B11" s="1"/>
  <c r="C8"/>
  <c r="C9" i="12"/>
  <c r="P7" i="19"/>
  <c r="G42" i="5"/>
  <c r="C21" i="11"/>
  <c r="C22"/>
  <c r="B39" i="4"/>
  <c r="E39" s="1"/>
  <c r="B94"/>
  <c r="G5" i="5"/>
  <c r="J6" i="12"/>
  <c r="J11" s="1"/>
  <c r="B15" i="4"/>
  <c r="E15" s="1"/>
  <c r="B18"/>
  <c r="E8" i="18"/>
  <c r="E11"/>
  <c r="E10"/>
  <c r="E12"/>
  <c r="B79" i="4"/>
  <c r="B88"/>
  <c r="D9" i="5"/>
  <c r="F4" i="19"/>
  <c r="D25" i="5"/>
  <c r="D12"/>
  <c r="B69" i="4"/>
  <c r="C69" s="1"/>
  <c r="I308"/>
  <c r="C248"/>
  <c r="B200"/>
  <c r="B196"/>
  <c r="B103"/>
  <c r="G103" s="1"/>
  <c r="B77"/>
  <c r="B73"/>
  <c r="E9" i="18"/>
  <c r="H7" i="19"/>
  <c r="B20" i="4"/>
  <c r="D29" i="5"/>
  <c r="E181" i="4"/>
  <c r="B7" i="18"/>
  <c r="J7"/>
  <c r="I7" s="1"/>
  <c r="A129" i="4"/>
  <c r="I203"/>
  <c r="K203"/>
  <c r="G203"/>
  <c r="I241"/>
  <c r="I36"/>
  <c r="E36"/>
  <c r="G36"/>
  <c r="A36"/>
  <c r="G102"/>
  <c r="A102"/>
  <c r="E147"/>
  <c r="G188"/>
  <c r="E196"/>
  <c r="G196"/>
  <c r="A196"/>
  <c r="A69"/>
  <c r="A11"/>
  <c r="H10" i="12"/>
  <c r="H11"/>
  <c r="I222" i="4"/>
  <c r="E222"/>
  <c r="G222"/>
  <c r="A98"/>
  <c r="G98"/>
  <c r="F63" i="13" s="1"/>
  <c r="G63" s="1"/>
  <c r="H63" s="1"/>
  <c r="A24" i="4"/>
  <c r="G24"/>
  <c r="G140"/>
  <c r="A103"/>
  <c r="A87"/>
  <c r="G209"/>
  <c r="I209"/>
  <c r="A128"/>
  <c r="E231"/>
  <c r="J9" i="18"/>
  <c r="I9" s="1"/>
  <c r="B9"/>
  <c r="A165" i="4"/>
  <c r="I237"/>
  <c r="A71"/>
  <c r="A70"/>
  <c r="E70"/>
  <c r="G70"/>
  <c r="D11" i="12"/>
  <c r="D13"/>
  <c r="E131" i="4"/>
  <c r="A131"/>
  <c r="G131"/>
  <c r="E48"/>
  <c r="I48"/>
  <c r="A48"/>
  <c r="A56"/>
  <c r="A157"/>
  <c r="G157"/>
  <c r="E157"/>
  <c r="G106"/>
  <c r="E106"/>
  <c r="A106"/>
  <c r="I144"/>
  <c r="E144"/>
  <c r="A144"/>
  <c r="G144"/>
  <c r="I142"/>
  <c r="E142"/>
  <c r="G142"/>
  <c r="A142"/>
  <c r="A53"/>
  <c r="G53"/>
  <c r="A74"/>
  <c r="E74"/>
  <c r="G74"/>
  <c r="A116"/>
  <c r="A43"/>
  <c r="G43"/>
  <c r="I43"/>
  <c r="E43"/>
  <c r="A82"/>
  <c r="A190"/>
  <c r="E189"/>
  <c r="G189"/>
  <c r="A189"/>
  <c r="A16"/>
  <c r="I16"/>
  <c r="G16"/>
  <c r="E22"/>
  <c r="A22"/>
  <c r="E173"/>
  <c r="A173"/>
  <c r="I173"/>
  <c r="J3" i="18"/>
  <c r="I3"/>
  <c r="B3"/>
  <c r="G68" i="4"/>
  <c r="A68"/>
  <c r="E68"/>
  <c r="A122"/>
  <c r="G122"/>
  <c r="G219"/>
  <c r="A77"/>
  <c r="A79"/>
  <c r="J14" i="12"/>
  <c r="B8" i="18"/>
  <c r="J8"/>
  <c r="I8" s="1"/>
  <c r="A84" i="4"/>
  <c r="A115"/>
  <c r="K220"/>
  <c r="G220"/>
  <c r="E114"/>
  <c r="I114"/>
  <c r="A114"/>
  <c r="B6" i="18"/>
  <c r="J6"/>
  <c r="I6" s="1"/>
  <c r="G238" i="4"/>
  <c r="I208"/>
  <c r="E208"/>
  <c r="G208"/>
  <c r="E72"/>
  <c r="A72"/>
  <c r="G72"/>
  <c r="A49"/>
  <c r="I49"/>
  <c r="G50"/>
  <c r="A50"/>
  <c r="I50"/>
  <c r="A57"/>
  <c r="G57"/>
  <c r="A42"/>
  <c r="G42"/>
  <c r="E42"/>
  <c r="I42"/>
  <c r="E152"/>
  <c r="G164"/>
  <c r="G37"/>
  <c r="A108"/>
  <c r="G108"/>
  <c r="E108"/>
  <c r="I108"/>
  <c r="E135"/>
  <c r="F16" i="13" s="1"/>
  <c r="G16" s="1"/>
  <c r="H16" s="1"/>
  <c r="I135" i="4"/>
  <c r="G135"/>
  <c r="A135"/>
  <c r="E212"/>
  <c r="K212"/>
  <c r="G212"/>
  <c r="G192"/>
  <c r="A192"/>
  <c r="G23"/>
  <c r="A23"/>
  <c r="E76"/>
  <c r="A76"/>
  <c r="G76"/>
  <c r="G5"/>
  <c r="A5"/>
  <c r="G125"/>
  <c r="A125"/>
  <c r="G226"/>
  <c r="G30"/>
  <c r="I30"/>
  <c r="F8" i="13"/>
  <c r="G8" s="1"/>
  <c r="H8" s="1"/>
  <c r="A30" i="4"/>
  <c r="K30"/>
  <c r="A9"/>
  <c r="C80"/>
  <c r="E80"/>
  <c r="A80"/>
  <c r="E126"/>
  <c r="C126"/>
  <c r="A126"/>
  <c r="G13"/>
  <c r="E13"/>
  <c r="I13"/>
  <c r="A13"/>
  <c r="G160"/>
  <c r="E118"/>
  <c r="A118"/>
  <c r="G118"/>
  <c r="A34"/>
  <c r="G34"/>
  <c r="G17"/>
  <c r="A17"/>
  <c r="A75"/>
  <c r="E66"/>
  <c r="G66"/>
  <c r="F10" i="13" s="1"/>
  <c r="G10" s="1"/>
  <c r="H10" s="1"/>
  <c r="A66" i="4"/>
  <c r="E143"/>
  <c r="I143"/>
  <c r="A143"/>
  <c r="G143"/>
  <c r="E110"/>
  <c r="A110"/>
  <c r="I110"/>
  <c r="C227"/>
  <c r="G227"/>
  <c r="E227"/>
  <c r="E120"/>
  <c r="A120"/>
  <c r="G120"/>
  <c r="R7" i="12"/>
  <c r="C100" i="4"/>
  <c r="A100"/>
  <c r="G169"/>
  <c r="F67" i="13" s="1"/>
  <c r="G67" s="1"/>
  <c r="H67" s="1"/>
  <c r="A169" i="4"/>
  <c r="A54"/>
  <c r="J4" i="18"/>
  <c r="I4" s="1"/>
  <c r="B4"/>
  <c r="I191" i="4"/>
  <c r="E191"/>
  <c r="G191"/>
  <c r="C191"/>
  <c r="A191"/>
  <c r="E112"/>
  <c r="G112"/>
  <c r="C112"/>
  <c r="A112"/>
  <c r="K20"/>
  <c r="A20"/>
  <c r="I20"/>
  <c r="E20"/>
  <c r="G20"/>
  <c r="A73"/>
  <c r="A88"/>
  <c r="G217"/>
  <c r="I242"/>
  <c r="E204"/>
  <c r="I204"/>
  <c r="K204"/>
  <c r="G204"/>
  <c r="G86"/>
  <c r="E86"/>
  <c r="A86"/>
  <c r="A58"/>
  <c r="G58"/>
  <c r="A62"/>
  <c r="G62"/>
  <c r="A33"/>
  <c r="G33"/>
  <c r="C33"/>
  <c r="K33"/>
  <c r="E33"/>
  <c r="I33"/>
  <c r="C174"/>
  <c r="A174"/>
  <c r="I174"/>
  <c r="E174"/>
  <c r="G18"/>
  <c r="A18"/>
  <c r="A94"/>
  <c r="G94"/>
  <c r="C228"/>
  <c r="E228"/>
  <c r="E210"/>
  <c r="I210"/>
  <c r="G124"/>
  <c r="A124"/>
  <c r="A99"/>
  <c r="G99"/>
  <c r="C99"/>
  <c r="A26"/>
  <c r="E26"/>
  <c r="A170"/>
  <c r="G170"/>
  <c r="E170"/>
  <c r="G225"/>
  <c r="A136"/>
  <c r="E38"/>
  <c r="A101"/>
  <c r="A41"/>
  <c r="G41"/>
  <c r="I41"/>
  <c r="E41"/>
  <c r="A85"/>
  <c r="A197"/>
  <c r="G197"/>
  <c r="A55"/>
  <c r="G55"/>
  <c r="I55"/>
  <c r="E55"/>
  <c r="A171"/>
  <c r="A46"/>
  <c r="K46"/>
  <c r="J5" i="18"/>
  <c r="I5"/>
  <c r="B5"/>
  <c r="I7" i="4"/>
  <c r="E7"/>
  <c r="A7"/>
  <c r="C7"/>
  <c r="G7"/>
  <c r="F15" i="13" s="1"/>
  <c r="G15" s="1"/>
  <c r="H15" s="1"/>
  <c r="F13"/>
  <c r="G13" s="1"/>
  <c r="H13" s="1"/>
  <c r="H9" i="12"/>
  <c r="J9"/>
  <c r="P7"/>
  <c r="R8"/>
  <c r="R14"/>
  <c r="R9"/>
  <c r="R13"/>
  <c r="H12"/>
  <c r="J43"/>
  <c r="D43"/>
  <c r="D12"/>
  <c r="D7"/>
  <c r="D8"/>
  <c r="D14"/>
  <c r="D9"/>
  <c r="R11"/>
  <c r="J12"/>
  <c r="J7"/>
  <c r="J8"/>
  <c r="H8"/>
  <c r="H13"/>
  <c r="J13"/>
  <c r="H14"/>
  <c r="K41"/>
  <c r="K39"/>
  <c r="K37"/>
  <c r="F39"/>
  <c r="J39"/>
  <c r="J37"/>
  <c r="E39"/>
  <c r="K43"/>
  <c r="E37"/>
  <c r="G41"/>
  <c r="F43"/>
  <c r="R10"/>
  <c r="J10"/>
  <c r="D10"/>
  <c r="I137" i="4" l="1"/>
  <c r="E37"/>
  <c r="E145"/>
  <c r="I37"/>
  <c r="G152"/>
  <c r="A21"/>
  <c r="I188"/>
  <c r="A181"/>
  <c r="I39"/>
  <c r="E137"/>
  <c r="A152"/>
  <c r="A188"/>
  <c r="I59"/>
  <c r="G38"/>
  <c r="G136"/>
  <c r="K26"/>
  <c r="G26"/>
  <c r="A39"/>
  <c r="I180"/>
  <c r="A140"/>
  <c r="A147"/>
  <c r="A38"/>
  <c r="I136"/>
  <c r="I26"/>
  <c r="G39"/>
  <c r="E180"/>
  <c r="A180"/>
  <c r="A137"/>
  <c r="G59"/>
  <c r="I145"/>
  <c r="G147"/>
  <c r="C39"/>
  <c r="C127"/>
  <c r="C198"/>
  <c r="C215"/>
  <c r="C239"/>
  <c r="C147"/>
  <c r="C140"/>
  <c r="C103"/>
  <c r="C128"/>
  <c r="C231"/>
  <c r="C70"/>
  <c r="C56"/>
  <c r="C157"/>
  <c r="C145"/>
  <c r="C21"/>
  <c r="C53"/>
  <c r="C190"/>
  <c r="C173"/>
  <c r="C68"/>
  <c r="F11" i="13" s="1"/>
  <c r="G11" s="1"/>
  <c r="H11" s="1"/>
  <c r="C238" i="4"/>
  <c r="C208"/>
  <c r="C72"/>
  <c r="C152"/>
  <c r="C5"/>
  <c r="C9"/>
  <c r="C13"/>
  <c r="C120"/>
  <c r="C169"/>
  <c r="C20"/>
  <c r="C88"/>
  <c r="C38"/>
  <c r="C197"/>
  <c r="C230"/>
  <c r="C206"/>
  <c r="C11"/>
  <c r="C165"/>
  <c r="C237"/>
  <c r="C144"/>
  <c r="C189"/>
  <c r="C79"/>
  <c r="C108"/>
  <c r="C212"/>
  <c r="C76"/>
  <c r="C226"/>
  <c r="C30"/>
  <c r="C75"/>
  <c r="C183"/>
  <c r="C110"/>
  <c r="C54"/>
  <c r="C73"/>
  <c r="C217"/>
  <c r="C204"/>
  <c r="C170"/>
  <c r="C136"/>
  <c r="C101"/>
  <c r="C41"/>
  <c r="C85"/>
  <c r="C46"/>
  <c r="C229"/>
  <c r="C243"/>
  <c r="C200"/>
  <c r="C15"/>
  <c r="C181"/>
  <c r="C203"/>
  <c r="C241"/>
  <c r="C196"/>
  <c r="C240"/>
  <c r="C59"/>
  <c r="C116"/>
  <c r="C43"/>
  <c r="C22"/>
  <c r="C28"/>
  <c r="C219"/>
  <c r="C77"/>
  <c r="C115"/>
  <c r="C37"/>
  <c r="C135"/>
  <c r="C180"/>
  <c r="C129"/>
  <c r="C36"/>
  <c r="C188"/>
  <c r="C222"/>
  <c r="C71"/>
  <c r="C131"/>
  <c r="C48"/>
  <c r="C106"/>
  <c r="C142"/>
  <c r="C74"/>
  <c r="C82"/>
  <c r="C84"/>
  <c r="C220"/>
  <c r="C114"/>
  <c r="C49"/>
  <c r="C42"/>
  <c r="C164"/>
  <c r="C137"/>
  <c r="C118"/>
  <c r="C66"/>
  <c r="C143"/>
  <c r="C242"/>
  <c r="C86"/>
  <c r="C210"/>
  <c r="C225"/>
  <c r="C216"/>
  <c r="C55"/>
  <c r="C171"/>
  <c r="I31"/>
  <c r="A31"/>
  <c r="A96"/>
  <c r="G96"/>
  <c r="J12" i="18"/>
  <c r="I12" s="1"/>
  <c r="B12"/>
  <c r="E160" i="4"/>
  <c r="A160"/>
  <c r="K160"/>
  <c r="I160"/>
  <c r="C160"/>
  <c r="A67"/>
  <c r="E67"/>
  <c r="C67"/>
  <c r="G93"/>
  <c r="A93"/>
  <c r="C93"/>
  <c r="K93"/>
  <c r="E43" i="12"/>
  <c r="G43"/>
  <c r="E111" i="4"/>
  <c r="G111"/>
  <c r="A111"/>
  <c r="C111"/>
  <c r="C235"/>
  <c r="E235"/>
  <c r="I235"/>
  <c r="G235"/>
  <c r="C155"/>
  <c r="G155"/>
  <c r="E155"/>
  <c r="A155"/>
  <c r="I155"/>
  <c r="G182"/>
  <c r="E182"/>
  <c r="A182"/>
  <c r="C182"/>
  <c r="G95"/>
  <c r="F62" i="13" s="1"/>
  <c r="G62" s="1"/>
  <c r="H62" s="1"/>
  <c r="A95" i="4"/>
  <c r="G179"/>
  <c r="A179"/>
  <c r="E179"/>
  <c r="I179"/>
  <c r="C179"/>
  <c r="G39" i="12"/>
  <c r="D39"/>
  <c r="P8"/>
  <c r="P10"/>
  <c r="P11"/>
  <c r="P14"/>
  <c r="P13"/>
  <c r="P9"/>
  <c r="P12"/>
  <c r="B10" i="18"/>
  <c r="J10"/>
  <c r="I10" s="1"/>
  <c r="C61" i="4"/>
  <c r="E61"/>
  <c r="I61"/>
  <c r="G61"/>
  <c r="A61"/>
  <c r="K61"/>
  <c r="E150"/>
  <c r="C150"/>
  <c r="G150"/>
  <c r="I150"/>
  <c r="A150"/>
  <c r="A151"/>
  <c r="E151"/>
  <c r="I151"/>
  <c r="C151"/>
  <c r="G151"/>
  <c r="C44"/>
  <c r="F41" i="12"/>
  <c r="J41"/>
  <c r="D41"/>
  <c r="E41"/>
  <c r="D37"/>
  <c r="H37"/>
  <c r="G37"/>
  <c r="F37"/>
  <c r="AD4" i="19"/>
  <c r="E209" i="4"/>
  <c r="E69"/>
  <c r="G181"/>
  <c r="G15"/>
  <c r="D24" i="12"/>
  <c r="D22"/>
  <c r="J4" i="19"/>
  <c r="G44" i="4"/>
  <c r="B221"/>
  <c r="C187"/>
  <c r="I268"/>
  <c r="C278"/>
  <c r="B148"/>
  <c r="E323"/>
  <c r="C318"/>
  <c r="C312"/>
  <c r="K302"/>
  <c r="K292"/>
  <c r="I289"/>
  <c r="E278"/>
  <c r="B213"/>
  <c r="B139"/>
  <c r="B119"/>
  <c r="B109"/>
  <c r="B97"/>
  <c r="B92"/>
  <c r="B81"/>
  <c r="L6" i="12"/>
  <c r="D26" i="5"/>
  <c r="I32" i="12"/>
  <c r="I39" s="1"/>
  <c r="C33"/>
  <c r="F35"/>
  <c r="K35"/>
  <c r="C45"/>
  <c r="C47"/>
  <c r="B78" i="4"/>
  <c r="C13" i="11"/>
  <c r="C14" s="1"/>
  <c r="N6" i="12"/>
  <c r="E44" i="4"/>
  <c r="B123"/>
  <c r="C280"/>
  <c r="K327"/>
  <c r="K325"/>
  <c r="C319"/>
  <c r="C303"/>
  <c r="C298"/>
  <c r="K290"/>
  <c r="B193"/>
  <c r="G184"/>
  <c r="B178"/>
  <c r="B163"/>
  <c r="B156"/>
  <c r="B121"/>
  <c r="K26" i="8"/>
  <c r="S13"/>
  <c r="C11"/>
  <c r="C8"/>
  <c r="E35" i="12"/>
  <c r="J35"/>
  <c r="A15" i="4"/>
  <c r="I15"/>
  <c r="F9" i="13" s="1"/>
  <c r="G9" s="1"/>
  <c r="H9" s="1"/>
  <c r="B153" i="4"/>
  <c r="K328"/>
  <c r="C321"/>
  <c r="E315"/>
  <c r="G303"/>
  <c r="E302"/>
  <c r="E291"/>
  <c r="C283"/>
  <c r="B236"/>
  <c r="B161"/>
  <c r="G126"/>
  <c r="M11" i="8"/>
  <c r="H32" i="12"/>
  <c r="H39" s="1"/>
  <c r="D35"/>
  <c r="H35"/>
  <c r="B83" i="4"/>
  <c r="E321"/>
  <c r="C316"/>
  <c r="K303"/>
  <c r="C35" i="12"/>
  <c r="I35" s="1"/>
  <c r="C156" i="4" l="1"/>
  <c r="I156"/>
  <c r="E156"/>
  <c r="G156"/>
  <c r="A156"/>
  <c r="G193"/>
  <c r="A193"/>
  <c r="A123"/>
  <c r="G123"/>
  <c r="E78"/>
  <c r="C78"/>
  <c r="A78"/>
  <c r="L14" i="12"/>
  <c r="L13"/>
  <c r="L9"/>
  <c r="L12"/>
  <c r="L11"/>
  <c r="L7"/>
  <c r="L10"/>
  <c r="L8"/>
  <c r="C109" i="4"/>
  <c r="A109"/>
  <c r="E83"/>
  <c r="C83"/>
  <c r="G83"/>
  <c r="A83"/>
  <c r="A121"/>
  <c r="G121"/>
  <c r="C97"/>
  <c r="A97"/>
  <c r="G97"/>
  <c r="C213"/>
  <c r="K213"/>
  <c r="C148"/>
  <c r="E148"/>
  <c r="I148"/>
  <c r="G148"/>
  <c r="A148"/>
  <c r="G221"/>
  <c r="C221"/>
  <c r="I37" i="12"/>
  <c r="I41"/>
  <c r="H43"/>
  <c r="H41"/>
  <c r="I236" i="4"/>
  <c r="E236"/>
  <c r="G236"/>
  <c r="C236"/>
  <c r="A153"/>
  <c r="C153"/>
  <c r="E153"/>
  <c r="I153"/>
  <c r="G153"/>
  <c r="C178"/>
  <c r="I178"/>
  <c r="G178"/>
  <c r="F68" i="13" s="1"/>
  <c r="G68" s="1"/>
  <c r="H68" s="1"/>
  <c r="A178" i="4"/>
  <c r="E178"/>
  <c r="N8" i="12"/>
  <c r="N13"/>
  <c r="N11"/>
  <c r="N14"/>
  <c r="B7" i="19"/>
  <c r="AD7" s="1"/>
  <c r="B13" s="1"/>
  <c r="N9" i="12"/>
  <c r="N7"/>
  <c r="N12"/>
  <c r="N10"/>
  <c r="D45"/>
  <c r="H45"/>
  <c r="G45"/>
  <c r="F45"/>
  <c r="E45"/>
  <c r="I45"/>
  <c r="K45"/>
  <c r="J45"/>
  <c r="C92" i="4"/>
  <c r="G92"/>
  <c r="F12" i="13" s="1"/>
  <c r="G12" s="1"/>
  <c r="H12" s="1"/>
  <c r="D4" s="1"/>
  <c r="A92" i="4"/>
  <c r="K92"/>
  <c r="C139"/>
  <c r="G139"/>
  <c r="A139"/>
  <c r="E139"/>
  <c r="I43" i="12"/>
  <c r="I161" i="4"/>
  <c r="C161"/>
  <c r="G161"/>
  <c r="A161"/>
  <c r="E161"/>
  <c r="K161"/>
  <c r="A163"/>
  <c r="C163"/>
  <c r="H47" i="12"/>
  <c r="E47"/>
  <c r="D47"/>
  <c r="G47"/>
  <c r="J47"/>
  <c r="F47"/>
  <c r="I47"/>
  <c r="K47"/>
  <c r="D33"/>
  <c r="E33"/>
  <c r="F33"/>
  <c r="J33"/>
  <c r="H33"/>
  <c r="G33"/>
  <c r="I33"/>
  <c r="K33"/>
  <c r="C81" i="4"/>
  <c r="A81"/>
  <c r="A119"/>
  <c r="G119"/>
  <c r="F1" l="1"/>
  <c r="L1"/>
  <c r="D1"/>
  <c r="B1" s="1"/>
  <c r="J1"/>
  <c r="H1"/>
  <c r="P13" i="19"/>
  <c r="P15" s="1"/>
  <c r="P17" s="1"/>
  <c r="B27" i="21"/>
  <c r="L27" l="1"/>
  <c r="K28" s="1"/>
  <c r="M27" l="1"/>
  <c r="N27" s="1"/>
  <c r="L28"/>
  <c r="K29" s="1"/>
  <c r="M28" l="1"/>
  <c r="N28" s="1"/>
  <c r="L29"/>
  <c r="M29" s="1"/>
  <c r="N29" s="1"/>
  <c r="K30" l="1"/>
  <c r="L30" l="1"/>
  <c r="M30" s="1"/>
  <c r="N30" s="1"/>
  <c r="K31" l="1"/>
  <c r="L31" l="1"/>
  <c r="M31" s="1"/>
  <c r="N31" s="1"/>
  <c r="K32" l="1"/>
  <c r="L32" l="1"/>
  <c r="M32" s="1"/>
  <c r="N32" s="1"/>
  <c r="K33" l="1"/>
  <c r="L33" l="1"/>
  <c r="M33" s="1"/>
  <c r="N33" s="1"/>
  <c r="K34" l="1"/>
  <c r="L34" l="1"/>
  <c r="M34" s="1"/>
  <c r="N34" s="1"/>
  <c r="K35" l="1"/>
  <c r="L35" l="1"/>
  <c r="M35" s="1"/>
  <c r="N35" s="1"/>
  <c r="K36" l="1"/>
  <c r="L36" l="1"/>
  <c r="M36" s="1"/>
  <c r="N36" s="1"/>
  <c r="K37" l="1"/>
  <c r="L37" l="1"/>
  <c r="M37" s="1"/>
  <c r="N37" s="1"/>
  <c r="K38" l="1"/>
  <c r="L38" l="1"/>
  <c r="M38" s="1"/>
  <c r="N38" s="1"/>
  <c r="K39" l="1"/>
  <c r="L39" l="1"/>
  <c r="M39" s="1"/>
  <c r="N39" s="1"/>
  <c r="K40" l="1"/>
  <c r="L40" l="1"/>
  <c r="M40" s="1"/>
  <c r="N40" s="1"/>
  <c r="K41" l="1"/>
  <c r="L41" l="1"/>
  <c r="M41" s="1"/>
  <c r="N41" s="1"/>
  <c r="K42" l="1"/>
  <c r="L42" l="1"/>
  <c r="M42" s="1"/>
  <c r="N42" s="1"/>
  <c r="O27" s="1"/>
  <c r="K43" l="1"/>
  <c r="L43" l="1"/>
  <c r="M43" s="1"/>
  <c r="N43" s="1"/>
  <c r="K44" l="1"/>
  <c r="L44" l="1"/>
  <c r="M44" s="1"/>
  <c r="N44" s="1"/>
  <c r="K45" l="1"/>
  <c r="L45" l="1"/>
  <c r="M45" s="1"/>
  <c r="N45" s="1"/>
  <c r="K46" l="1"/>
  <c r="L46" l="1"/>
  <c r="M46" s="1"/>
  <c r="N46" s="1"/>
  <c r="K47" l="1"/>
  <c r="L47" l="1"/>
  <c r="M47" s="1"/>
  <c r="N47" s="1"/>
  <c r="K48" l="1"/>
  <c r="L48" l="1"/>
  <c r="M48" s="1"/>
  <c r="N48" s="1"/>
  <c r="K49" l="1"/>
  <c r="L49" l="1"/>
  <c r="M49" s="1"/>
  <c r="N49" s="1"/>
  <c r="K50" l="1"/>
  <c r="L50" l="1"/>
  <c r="M50" s="1"/>
  <c r="N50" s="1"/>
  <c r="K51" l="1"/>
  <c r="L51" l="1"/>
  <c r="M51" s="1"/>
  <c r="N51" s="1"/>
  <c r="K52" l="1"/>
  <c r="L52" l="1"/>
  <c r="M52" s="1"/>
  <c r="N52" s="1"/>
  <c r="K53" l="1"/>
  <c r="L53" l="1"/>
  <c r="M53" s="1"/>
  <c r="N53" s="1"/>
  <c r="K54" l="1"/>
  <c r="L54" l="1"/>
  <c r="M54" s="1"/>
  <c r="N54" s="1"/>
  <c r="K55" l="1"/>
  <c r="L55" l="1"/>
  <c r="M55" s="1"/>
  <c r="N55" s="1"/>
  <c r="K56" l="1"/>
  <c r="L56" l="1"/>
  <c r="M56" s="1"/>
  <c r="N56" s="1"/>
  <c r="K57" l="1"/>
  <c r="L57" l="1"/>
  <c r="M57" s="1"/>
  <c r="N57" s="1"/>
  <c r="K58" l="1"/>
  <c r="L58" l="1"/>
  <c r="M58" s="1"/>
  <c r="N58" s="1"/>
  <c r="O43" s="1"/>
  <c r="K59" l="1"/>
  <c r="L59" l="1"/>
  <c r="M59" s="1"/>
  <c r="N59" s="1"/>
  <c r="K60" l="1"/>
  <c r="L60" l="1"/>
  <c r="M60" s="1"/>
  <c r="N60" s="1"/>
  <c r="K61" l="1"/>
  <c r="L61" l="1"/>
  <c r="M61" s="1"/>
  <c r="N61" s="1"/>
  <c r="K62" l="1"/>
  <c r="L62" l="1"/>
  <c r="M62" s="1"/>
  <c r="N62" s="1"/>
  <c r="K63" l="1"/>
  <c r="L63" l="1"/>
  <c r="M63" s="1"/>
  <c r="N63" s="1"/>
  <c r="K64" l="1"/>
  <c r="L64" l="1"/>
  <c r="M64" s="1"/>
  <c r="N64" s="1"/>
  <c r="K65" l="1"/>
  <c r="L65" l="1"/>
  <c r="M65" s="1"/>
  <c r="N65" s="1"/>
  <c r="K66" l="1"/>
  <c r="L66" l="1"/>
  <c r="M66" s="1"/>
  <c r="N66" s="1"/>
  <c r="K67" l="1"/>
  <c r="L67" l="1"/>
  <c r="M67" s="1"/>
  <c r="N67" s="1"/>
  <c r="K68" l="1"/>
  <c r="L68" l="1"/>
  <c r="M68" s="1"/>
  <c r="N68" s="1"/>
  <c r="K69" l="1"/>
  <c r="L69" l="1"/>
  <c r="M69" s="1"/>
  <c r="N69" s="1"/>
  <c r="K70" l="1"/>
  <c r="L70" l="1"/>
  <c r="M70" s="1"/>
  <c r="N70" s="1"/>
  <c r="K71" l="1"/>
  <c r="L71" l="1"/>
  <c r="M71" s="1"/>
  <c r="N71" s="1"/>
  <c r="K72" l="1"/>
  <c r="L72" l="1"/>
  <c r="M72" s="1"/>
  <c r="N72" s="1"/>
  <c r="K73" l="1"/>
  <c r="L73" l="1"/>
  <c r="M73" s="1"/>
  <c r="N73" s="1"/>
  <c r="K74" l="1"/>
  <c r="L74" l="1"/>
  <c r="M74" s="1"/>
  <c r="N74" s="1"/>
  <c r="O59" s="1"/>
  <c r="K75" l="1"/>
  <c r="L75" l="1"/>
  <c r="K76" s="1"/>
  <c r="L76" l="1"/>
  <c r="M76" s="1"/>
  <c r="N76" s="1"/>
  <c r="M75"/>
  <c r="N75" s="1"/>
  <c r="K77" l="1"/>
  <c r="L77" l="1"/>
  <c r="M77" s="1"/>
  <c r="N77" s="1"/>
  <c r="K78" l="1"/>
  <c r="L78" l="1"/>
  <c r="K79" s="1"/>
  <c r="L79" l="1"/>
  <c r="M79" s="1"/>
  <c r="N79" s="1"/>
  <c r="M78"/>
  <c r="N78" s="1"/>
  <c r="K80" l="1"/>
  <c r="L80" l="1"/>
  <c r="M80" s="1"/>
  <c r="N80" s="1"/>
  <c r="K81" l="1"/>
  <c r="L81" l="1"/>
  <c r="M81" s="1"/>
  <c r="N81" s="1"/>
  <c r="K82" l="1"/>
  <c r="L82" l="1"/>
  <c r="M82" s="1"/>
  <c r="N82" s="1"/>
  <c r="K83" l="1"/>
  <c r="L83" l="1"/>
  <c r="M83" s="1"/>
  <c r="N83" s="1"/>
  <c r="K84" l="1"/>
  <c r="L84" l="1"/>
  <c r="M84" s="1"/>
  <c r="N84" s="1"/>
  <c r="K85" l="1"/>
  <c r="L85" l="1"/>
  <c r="M85" s="1"/>
  <c r="N85" s="1"/>
  <c r="K86" l="1"/>
  <c r="L86" l="1"/>
  <c r="M86" s="1"/>
  <c r="N86" s="1"/>
  <c r="K87" l="1"/>
  <c r="L87" l="1"/>
  <c r="M87" s="1"/>
  <c r="N87" s="1"/>
  <c r="K88" l="1"/>
  <c r="L88" l="1"/>
  <c r="M88" s="1"/>
  <c r="N88" s="1"/>
  <c r="K89" l="1"/>
  <c r="L89" l="1"/>
  <c r="M89" s="1"/>
  <c r="N89" s="1"/>
  <c r="K90" l="1"/>
  <c r="L90" l="1"/>
  <c r="M90" s="1"/>
  <c r="N90" s="1"/>
  <c r="O75" s="1"/>
  <c r="K91" l="1"/>
  <c r="L91" l="1"/>
  <c r="M91" s="1"/>
  <c r="N91" s="1"/>
  <c r="K92" l="1"/>
  <c r="L92" l="1"/>
  <c r="M92" s="1"/>
  <c r="N92" s="1"/>
  <c r="K93" l="1"/>
  <c r="L93" l="1"/>
  <c r="M93" s="1"/>
  <c r="N93" s="1"/>
  <c r="K94" l="1"/>
  <c r="L94" l="1"/>
  <c r="M94" s="1"/>
  <c r="N94" s="1"/>
  <c r="K95" l="1"/>
  <c r="L95" l="1"/>
  <c r="M95" s="1"/>
  <c r="N95" s="1"/>
  <c r="K96" l="1"/>
  <c r="L96" l="1"/>
  <c r="M96" s="1"/>
  <c r="N96" s="1"/>
  <c r="K97" l="1"/>
  <c r="L97" l="1"/>
  <c r="M97" s="1"/>
  <c r="N97" s="1"/>
  <c r="K98" l="1"/>
  <c r="L98" l="1"/>
  <c r="M98" s="1"/>
  <c r="N98" s="1"/>
  <c r="K99" l="1"/>
  <c r="L99" l="1"/>
  <c r="M99" s="1"/>
  <c r="N99" s="1"/>
  <c r="K100" l="1"/>
  <c r="L100" l="1"/>
  <c r="M100" s="1"/>
  <c r="N100" s="1"/>
  <c r="K101" l="1"/>
  <c r="L101" l="1"/>
  <c r="M101" s="1"/>
  <c r="N101" s="1"/>
  <c r="K102" l="1"/>
  <c r="L102" l="1"/>
  <c r="M102" s="1"/>
  <c r="N102" s="1"/>
  <c r="K103" l="1"/>
  <c r="L103" l="1"/>
  <c r="K104" s="1"/>
  <c r="L104" l="1"/>
  <c r="M104" s="1"/>
  <c r="N104" s="1"/>
  <c r="M103"/>
  <c r="N103" s="1"/>
  <c r="K105" l="1"/>
  <c r="L105" l="1"/>
  <c r="M105" s="1"/>
  <c r="N105" s="1"/>
  <c r="K106" l="1"/>
  <c r="L106" l="1"/>
  <c r="M106" s="1"/>
  <c r="N106" s="1"/>
  <c r="O91" s="1"/>
  <c r="K107" l="1"/>
  <c r="L107" l="1"/>
  <c r="M107" s="1"/>
  <c r="N107" s="1"/>
  <c r="K108" l="1"/>
  <c r="L108" l="1"/>
  <c r="M108" s="1"/>
  <c r="N108" s="1"/>
  <c r="K109" l="1"/>
  <c r="L109" l="1"/>
  <c r="M109" s="1"/>
  <c r="N109" s="1"/>
  <c r="K110" l="1"/>
  <c r="L110" l="1"/>
  <c r="M110" s="1"/>
  <c r="N110" s="1"/>
  <c r="K111" l="1"/>
  <c r="L111" l="1"/>
  <c r="M111" s="1"/>
  <c r="N111" s="1"/>
  <c r="K112" l="1"/>
  <c r="L112" l="1"/>
  <c r="M112" s="1"/>
  <c r="N112" s="1"/>
  <c r="K113" l="1"/>
  <c r="L113" l="1"/>
  <c r="M113" s="1"/>
  <c r="N113" s="1"/>
  <c r="K114" l="1"/>
  <c r="L114" l="1"/>
  <c r="M114" s="1"/>
  <c r="N114" s="1"/>
  <c r="K115" l="1"/>
  <c r="L115" l="1"/>
  <c r="M115" s="1"/>
  <c r="N115" s="1"/>
  <c r="K116" l="1"/>
  <c r="L116" l="1"/>
  <c r="M116" s="1"/>
  <c r="N116" s="1"/>
  <c r="K117" l="1"/>
  <c r="L117" l="1"/>
  <c r="M117" s="1"/>
  <c r="N117" s="1"/>
  <c r="K118" l="1"/>
  <c r="L118" l="1"/>
  <c r="M118" s="1"/>
  <c r="N118" s="1"/>
  <c r="K119" l="1"/>
  <c r="L119" l="1"/>
  <c r="K120" s="1"/>
  <c r="L120" l="1"/>
  <c r="M120" s="1"/>
  <c r="N120" s="1"/>
  <c r="M119"/>
  <c r="N119" s="1"/>
  <c r="K121" l="1"/>
  <c r="L121" l="1"/>
  <c r="M121" s="1"/>
  <c r="N121" s="1"/>
  <c r="O107" s="1"/>
  <c r="G27" s="1"/>
  <c r="B15" i="19" s="1"/>
</calcChain>
</file>

<file path=xl/comments1.xml><?xml version="1.0" encoding="utf-8"?>
<comments xmlns="http://schemas.openxmlformats.org/spreadsheetml/2006/main">
  <authors>
    <author>Matthieu</author>
    <author>MF</author>
  </authors>
  <commentList>
    <comment ref="D4" authorId="0">
      <text>
        <r>
          <rPr>
            <b/>
            <sz val="8"/>
            <color indexed="81"/>
            <rFont val="Tahoma"/>
            <family val="2"/>
          </rPr>
          <t>Reverse the meaning of the following caracter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absolute quantitative magnitude</t>
        </r>
      </text>
    </comment>
    <comment ref="E12" authorId="1">
      <text>
        <r>
          <rPr>
            <b/>
            <sz val="8"/>
            <color indexed="81"/>
            <rFont val="Tahoma"/>
            <family val="2"/>
          </rPr>
          <t>Ending for adjectives of the of-form: 
spacial = of-space</t>
        </r>
      </text>
    </comment>
    <comment ref="H12" authorId="1">
      <text>
        <r>
          <rPr>
            <b/>
            <sz val="8"/>
            <color indexed="81"/>
            <rFont val="Tahoma"/>
            <family val="2"/>
          </rPr>
          <t>Ending for adjectives of the have-form: sweet = have-sugar, noisy = have-noise, etc.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Ending for verb at future tense
</t>
        </r>
        <r>
          <rPr>
            <sz val="8"/>
            <color indexed="81"/>
            <rFont val="Tahoma"/>
            <family val="2"/>
          </rPr>
          <t>Dynamic principle, movement toward something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>Ending for verbs at past tense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1">
      <text>
        <r>
          <rPr>
            <b/>
            <sz val="8"/>
            <color indexed="81"/>
            <rFont val="Tahoma"/>
            <family val="2"/>
          </rPr>
          <t>Ending for verbs at conditionnal mood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>Ending for nouns</t>
        </r>
      </text>
    </comment>
    <comment ref="N12" authorId="0">
      <text>
        <r>
          <rPr>
            <b/>
            <sz val="8"/>
            <color indexed="81"/>
            <rFont val="Tahoma"/>
            <family val="2"/>
          </rPr>
          <t>Marker for plural,
to be placed between the radical string and the ending</t>
        </r>
      </text>
    </comment>
    <comment ref="P12" authorId="0">
      <text>
        <r>
          <rPr>
            <b/>
            <sz val="8"/>
            <color indexed="81"/>
            <rFont val="Tahoma"/>
            <family val="2"/>
          </rPr>
          <t xml:space="preserve">No meaning, purely fonctional
- Neutralize the grammatical role of a ambivalent radical by avoiding it to be in final position, and keep it in its semantic role. 
- Indicate the begining of phonetic word (transcriptions of names)
</t>
        </r>
      </text>
    </comment>
    <comment ref="K16" authorId="0">
      <text>
        <r>
          <rPr>
            <b/>
            <sz val="8"/>
            <color indexed="81"/>
            <rFont val="Tahoma"/>
            <family val="2"/>
          </rPr>
          <t>Author of an action
Marker of the active voice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18" authorId="0">
      <text>
        <r>
          <rPr>
            <b/>
            <sz val="8"/>
            <color indexed="81"/>
            <rFont val="Tahoma"/>
            <family val="2"/>
          </rPr>
          <t xml:space="preserve">ability, freedom,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" authorId="0">
      <text>
        <r>
          <rPr>
            <b/>
            <sz val="8"/>
            <color indexed="81"/>
            <rFont val="Tahoma"/>
            <family val="2"/>
          </rPr>
          <t>Ending for adverbs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Ending for verbs at imperative mode</t>
        </r>
      </text>
    </comment>
    <comment ref="K24" authorId="0">
      <text>
        <r>
          <rPr>
            <b/>
            <sz val="8"/>
            <color indexed="81"/>
            <rFont val="Tahoma"/>
            <family val="2"/>
          </rPr>
          <t>Ending for verbs at infinitive</t>
        </r>
      </text>
    </comment>
    <comment ref="M24" authorId="0">
      <text>
        <r>
          <rPr>
            <b/>
            <sz val="8"/>
            <color indexed="81"/>
            <rFont val="Tahoma"/>
            <family val="2"/>
          </rPr>
          <t>Ending for noun at accusative (i.e.: beeing the object of an action)</t>
        </r>
      </text>
    </comment>
    <comment ref="N24" authorId="0">
      <text>
        <r>
          <rPr>
            <b/>
            <sz val="8"/>
            <color indexed="81"/>
            <rFont val="Tahoma"/>
            <family val="2"/>
          </rPr>
          <t>Ending for numbers</t>
        </r>
      </text>
    </comment>
    <comment ref="P24" authorId="0">
      <text>
        <r>
          <rPr>
            <b/>
            <sz val="8"/>
            <color indexed="81"/>
            <rFont val="Tahoma"/>
            <family val="2"/>
          </rPr>
          <t>Ending for verbs at present tense</t>
        </r>
      </text>
    </comment>
  </commentList>
</comments>
</file>

<file path=xl/comments2.xml><?xml version="1.0" encoding="utf-8"?>
<comments xmlns="http://schemas.openxmlformats.org/spreadsheetml/2006/main">
  <authors>
    <author>MF</author>
    <author>Matthieu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Needs a joker before the ending to show that "group" doesn't have the function of plural marker.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The joker "h" here avoids to pronounce the word as "Nayn", which would mean "the opposits"</t>
        </r>
      </text>
    </comment>
    <comment ref="B96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To be made owner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To make oneself owner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To make oneself owner</t>
        </r>
      </text>
    </comment>
    <comment ref="B121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Transitive verb by default</t>
        </r>
      </text>
    </comment>
    <comment ref="G126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passive verb !</t>
        </r>
      </text>
    </comment>
    <comment ref="B180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the obligation as the opposit of the freedom</t>
        </r>
      </text>
    </comment>
    <comment ref="G184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transitive verbe by default</t>
        </r>
      </text>
    </comment>
    <comment ref="B199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value from the deeds</t>
        </r>
      </text>
    </comment>
    <comment ref="B200" authorId="0">
      <text>
        <r>
          <rPr>
            <b/>
            <sz val="8"/>
            <color indexed="81"/>
            <rFont val="Tahoma"/>
            <family val="2"/>
          </rPr>
          <t>MF:</t>
        </r>
        <r>
          <rPr>
            <sz val="8"/>
            <color indexed="81"/>
            <rFont val="Tahoma"/>
            <family val="2"/>
          </rPr>
          <t xml:space="preserve">
value from the essence, the identity</t>
        </r>
      </text>
    </comment>
    <comment ref="B210" authorId="1">
      <text>
        <r>
          <rPr>
            <b/>
            <sz val="8"/>
            <color indexed="81"/>
            <rFont val="Tahoma"/>
            <family val="2"/>
          </rPr>
          <t>"now" as the "time of me"</t>
        </r>
      </text>
    </comment>
    <comment ref="B214" authorId="1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Considérer une ligne comme un super-groupe de points, la dimension supérieure.</t>
        </r>
      </text>
    </comment>
    <comment ref="B217" authorId="1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Considérer une ligne comme la transcendance du point</t>
        </r>
      </text>
    </comment>
    <comment ref="B218" authorId="1">
      <text>
        <r>
          <rPr>
            <b/>
            <sz val="8"/>
            <color indexed="81"/>
            <rFont val="Tahoma"/>
            <family val="2"/>
          </rPr>
          <t>the surface as a sub level of space</t>
        </r>
      </text>
    </comment>
    <comment ref="B221" authorId="1">
      <text>
        <r>
          <rPr>
            <b/>
            <sz val="8"/>
            <color indexed="81"/>
            <rFont val="Tahoma"/>
            <family val="2"/>
          </rPr>
          <t>the time of the action</t>
        </r>
      </text>
    </comment>
  </commentList>
</comments>
</file>

<file path=xl/comments3.xml><?xml version="1.0" encoding="utf-8"?>
<comments xmlns="http://schemas.openxmlformats.org/spreadsheetml/2006/main">
  <authors>
    <author>Matthieu</author>
  </authors>
  <commentList>
    <comment ref="F6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La finale en Chose.&amp;Joker.. A été nécessaire pour neutraliser la fonction de "Marqueur de nom" du radical Chose.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La finale en Temps.&amp;Existence. A été nécessaire pour neutraliser la fonction de "Verbe conjugué" du radical Temps. , bien que le sens soit troublé.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La finale en Chose.&amp;Joker.. A été nécessaire pour neutraliser la fonction de "Marqueur de nom" du radical Chose.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La finale en Temps.&amp;Existence. A été nécessaire pour neutraliser la fonction de "Verbe conjugué" du radical Temps. , bien que le sens soit troublé.</t>
        </r>
      </text>
    </comment>
    <comment ref="K32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too long and unclear !
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  <comment ref="E35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Matthieu:</t>
        </r>
        <r>
          <rPr>
            <sz val="8"/>
            <color indexed="81"/>
            <rFont val="Tahoma"/>
            <family val="2"/>
          </rPr>
          <t xml:space="preserve">
Le radical "Moi." apporte l'idée de proximité, puisque le "Ici" et "Maintenant" se définisse par rapport au "Moi"</t>
        </r>
      </text>
    </comment>
  </commentList>
</comments>
</file>

<file path=xl/sharedStrings.xml><?xml version="1.0" encoding="utf-8"?>
<sst xmlns="http://schemas.openxmlformats.org/spreadsheetml/2006/main" count="1735" uniqueCount="1284">
  <si>
    <t>A</t>
  </si>
  <si>
    <t>E</t>
  </si>
  <si>
    <t>I</t>
  </si>
  <si>
    <t>Montrer</t>
  </si>
  <si>
    <t>Me</t>
  </si>
  <si>
    <t>conditionnel</t>
  </si>
  <si>
    <t>Lieu</t>
  </si>
  <si>
    <t>XXX-eco</t>
  </si>
  <si>
    <t>XXX-ado</t>
  </si>
  <si>
    <t>action, processus</t>
  </si>
  <si>
    <t>XXX-ejo</t>
  </si>
  <si>
    <t>Appartenir</t>
  </si>
  <si>
    <t>Savoir</t>
  </si>
  <si>
    <t>connaissance</t>
  </si>
  <si>
    <t>Apprendre de qqn</t>
  </si>
  <si>
    <t>Produit, enfant</t>
  </si>
  <si>
    <t>XXX-ido</t>
  </si>
  <si>
    <t>Obligation</t>
  </si>
  <si>
    <t>Mérite</t>
  </si>
  <si>
    <t>Possibilité</t>
  </si>
  <si>
    <t>XXX-eblo</t>
  </si>
  <si>
    <t>XXX-indo</t>
  </si>
  <si>
    <t>Actif</t>
  </si>
  <si>
    <t>Passif</t>
  </si>
  <si>
    <t>XXX-ero</t>
  </si>
  <si>
    <t>adjectif</t>
  </si>
  <si>
    <t>adverbe</t>
  </si>
  <si>
    <t>n</t>
  </si>
  <si>
    <t>participe actif</t>
  </si>
  <si>
    <t>participe passif</t>
  </si>
  <si>
    <t>indicatif présent</t>
  </si>
  <si>
    <t>indicatif passé</t>
  </si>
  <si>
    <t>indicatif futur</t>
  </si>
  <si>
    <t>impératif</t>
  </si>
  <si>
    <t>XXX-aro</t>
  </si>
  <si>
    <t>terminaisons espéranto</t>
  </si>
  <si>
    <t>sens</t>
  </si>
  <si>
    <t>équivalent laramin</t>
  </si>
  <si>
    <t>Exemple</t>
  </si>
  <si>
    <t>ensemble complet</t>
  </si>
  <si>
    <t>This</t>
  </si>
  <si>
    <t>That</t>
  </si>
  <si>
    <t>That, Which</t>
  </si>
  <si>
    <t>Something</t>
  </si>
  <si>
    <t>That …</t>
  </si>
  <si>
    <t>This …</t>
  </si>
  <si>
    <t>A …</t>
  </si>
  <si>
    <t>All the …</t>
  </si>
  <si>
    <t>Any …</t>
  </si>
  <si>
    <t>No …</t>
  </si>
  <si>
    <t>Everything</t>
  </si>
  <si>
    <t>Whatever</t>
  </si>
  <si>
    <t>Nothing</t>
  </si>
  <si>
    <t>Here</t>
  </si>
  <si>
    <t>There</t>
  </si>
  <si>
    <t>Somewhere</t>
  </si>
  <si>
    <t>Where ?</t>
  </si>
  <si>
    <t>What … ?</t>
  </si>
  <si>
    <t>What ?</t>
  </si>
  <si>
    <t xml:space="preserve">Where  </t>
  </si>
  <si>
    <t>Everywhere</t>
  </si>
  <si>
    <t>Anywhere</t>
  </si>
  <si>
    <t>Nowhere</t>
  </si>
  <si>
    <t>When ?</t>
  </si>
  <si>
    <t xml:space="preserve">When  </t>
  </si>
  <si>
    <t>Always</t>
  </si>
  <si>
    <t>Any time</t>
  </si>
  <si>
    <t>Never</t>
  </si>
  <si>
    <t>Sometimes</t>
  </si>
  <si>
    <t>At that moment</t>
  </si>
  <si>
    <t>He, that person</t>
  </si>
  <si>
    <t>Someone</t>
  </si>
  <si>
    <t>Who ?</t>
  </si>
  <si>
    <t xml:space="preserve">Who  </t>
  </si>
  <si>
    <t>Everybody</t>
  </si>
  <si>
    <t>Anybody</t>
  </si>
  <si>
    <t>Nobody</t>
  </si>
  <si>
    <t>So that</t>
  </si>
  <si>
    <t>For some purpose</t>
  </si>
  <si>
    <t>What for ?</t>
  </si>
  <si>
    <t>Why</t>
  </si>
  <si>
    <t>Somehow</t>
  </si>
  <si>
    <t>This way</t>
  </si>
  <si>
    <t>That way</t>
  </si>
  <si>
    <t>For all goals</t>
  </si>
  <si>
    <t>For any purpose</t>
  </si>
  <si>
    <t>Without any goal</t>
  </si>
  <si>
    <t>For some reason</t>
  </si>
  <si>
    <t>His</t>
  </si>
  <si>
    <t>Les substantifs sont a défaut en forme définie :</t>
  </si>
  <si>
    <t xml:space="preserve">Le souhait : </t>
  </si>
  <si>
    <t xml:space="preserve">Un souhait : </t>
  </si>
  <si>
    <t>On les rend indéfinis avec l'article "un"</t>
  </si>
  <si>
    <t>That's why</t>
  </si>
  <si>
    <t>Why ?</t>
  </si>
  <si>
    <t>For all reasons</t>
  </si>
  <si>
    <t>For any reason</t>
  </si>
  <si>
    <t>For no reason</t>
  </si>
  <si>
    <t>How ?</t>
  </si>
  <si>
    <t xml:space="preserve">How  </t>
  </si>
  <si>
    <t>Anyway</t>
  </si>
  <si>
    <t>No matter how</t>
  </si>
  <si>
    <t>By no way</t>
  </si>
  <si>
    <t>inward</t>
  </si>
  <si>
    <t>out</t>
  </si>
  <si>
    <t>inside</t>
  </si>
  <si>
    <t>outside</t>
  </si>
  <si>
    <t>the inside</t>
  </si>
  <si>
    <t>the outside</t>
  </si>
  <si>
    <t>inner</t>
  </si>
  <si>
    <t>outer</t>
  </si>
  <si>
    <t xml:space="preserve">Now </t>
  </si>
  <si>
    <t>take out</t>
  </si>
  <si>
    <t>outward</t>
  </si>
  <si>
    <t>s</t>
  </si>
  <si>
    <t>m</t>
  </si>
  <si>
    <t>z</t>
  </si>
  <si>
    <t>r</t>
  </si>
  <si>
    <t>l</t>
  </si>
  <si>
    <t>y</t>
  </si>
  <si>
    <t>XXX-o</t>
  </si>
  <si>
    <t>XXX-nto</t>
  </si>
  <si>
    <t>XXX-to</t>
  </si>
  <si>
    <t>XXX-a</t>
  </si>
  <si>
    <t>XXX-nta</t>
  </si>
  <si>
    <t>XXX-ta</t>
  </si>
  <si>
    <t>XXX-i</t>
  </si>
  <si>
    <t>XXX-e</t>
  </si>
  <si>
    <t>XXX-as</t>
  </si>
  <si>
    <t>XXX-es</t>
  </si>
  <si>
    <t>XXX-os</t>
  </si>
  <si>
    <t>XXX-us</t>
  </si>
  <si>
    <t xml:space="preserve">XXX-u </t>
  </si>
  <si>
    <t>into</t>
  </si>
  <si>
    <t>a</t>
  </si>
  <si>
    <t>i</t>
  </si>
  <si>
    <t>o</t>
  </si>
  <si>
    <t>u</t>
  </si>
  <si>
    <t>e</t>
  </si>
  <si>
    <t>h</t>
  </si>
  <si>
    <t>p</t>
  </si>
  <si>
    <t>t</t>
  </si>
  <si>
    <t>k</t>
  </si>
  <si>
    <t>f</t>
  </si>
  <si>
    <t>kh</t>
  </si>
  <si>
    <t>w</t>
  </si>
  <si>
    <t>j</t>
  </si>
  <si>
    <t>v</t>
  </si>
  <si>
    <t>g</t>
  </si>
  <si>
    <t>d</t>
  </si>
  <si>
    <t>b</t>
  </si>
  <si>
    <t>Donner</t>
  </si>
  <si>
    <t>Recevoir</t>
  </si>
  <si>
    <t>Céder</t>
  </si>
  <si>
    <t>x</t>
  </si>
  <si>
    <t>Révéler</t>
  </si>
  <si>
    <t>Voir</t>
  </si>
  <si>
    <t>Regarder</t>
  </si>
  <si>
    <t>Faire écouter</t>
  </si>
  <si>
    <t>Entendre</t>
  </si>
  <si>
    <t>Ecouter</t>
  </si>
  <si>
    <t>Laisser écouter</t>
  </si>
  <si>
    <t>Faire sentir</t>
  </si>
  <si>
    <t>Sentir</t>
  </si>
  <si>
    <t>Palper</t>
  </si>
  <si>
    <t>Laisser sentir</t>
  </si>
  <si>
    <t>Dire, informer, enseigner</t>
  </si>
  <si>
    <t>Avouer, révéler</t>
  </si>
  <si>
    <t>Rendre possédé</t>
  </si>
  <si>
    <t>Statique</t>
  </si>
  <si>
    <t>être su</t>
  </si>
  <si>
    <t>Faire gouter</t>
  </si>
  <si>
    <t>Gouter</t>
  </si>
  <si>
    <t>Laisser gouter</t>
  </si>
  <si>
    <t>Dynamique</t>
  </si>
  <si>
    <t>Recepteur</t>
  </si>
  <si>
    <t>Emeteur</t>
  </si>
  <si>
    <t>Etre fait possesseur de</t>
  </si>
  <si>
    <t>image</t>
  </si>
  <si>
    <t>son</t>
  </si>
  <si>
    <t>touché</t>
  </si>
  <si>
    <t>odeur</t>
  </si>
  <si>
    <t>parfum</t>
  </si>
  <si>
    <t>saveur</t>
  </si>
  <si>
    <t>Exprimer</t>
  </si>
  <si>
    <t>couleur</t>
  </si>
  <si>
    <t>timbre</t>
  </si>
  <si>
    <t>humeur</t>
  </si>
  <si>
    <t>type</t>
  </si>
  <si>
    <t>sentiment</t>
  </si>
  <si>
    <t>goût</t>
  </si>
  <si>
    <t>Eprouver</t>
  </si>
  <si>
    <t>Esprit sensible</t>
  </si>
  <si>
    <t>Corps sensible</t>
  </si>
  <si>
    <t>Corps inerte</t>
  </si>
  <si>
    <t>Esprit conscient</t>
  </si>
  <si>
    <t>Esprit cognitif</t>
  </si>
  <si>
    <t>conscience</t>
  </si>
  <si>
    <t>prendre conscience</t>
  </si>
  <si>
    <t>faire prendre conscience</t>
  </si>
  <si>
    <t>niveau</t>
  </si>
  <si>
    <t>avoir conscience de</t>
  </si>
  <si>
    <t>Posséder, avoir</t>
  </si>
  <si>
    <t>Perdre</t>
  </si>
  <si>
    <t>s'informer</t>
  </si>
  <si>
    <t>Saisir</t>
  </si>
  <si>
    <t>Etre dépossédé de</t>
  </si>
  <si>
    <t>Rendre dépossédé</t>
  </si>
  <si>
    <t>the insider</t>
  </si>
  <si>
    <t>the outsider</t>
  </si>
  <si>
    <t>to come back</t>
  </si>
  <si>
    <t>to go</t>
  </si>
  <si>
    <t xml:space="preserve">to come  </t>
  </si>
  <si>
    <t>the travel</t>
  </si>
  <si>
    <t>to be</t>
  </si>
  <si>
    <t>to</t>
  </si>
  <si>
    <t>from</t>
  </si>
  <si>
    <t>internally</t>
  </si>
  <si>
    <t>externally</t>
  </si>
  <si>
    <t>verbe infinitif</t>
  </si>
  <si>
    <t>nom accusatif</t>
  </si>
  <si>
    <t xml:space="preserve">nom  </t>
  </si>
  <si>
    <t>nom actif</t>
  </si>
  <si>
    <t>nom passif</t>
  </si>
  <si>
    <t>your and my</t>
  </si>
  <si>
    <t>yours and mine</t>
  </si>
  <si>
    <t>done</t>
  </si>
  <si>
    <t>do !</t>
  </si>
  <si>
    <t>would do</t>
  </si>
  <si>
    <t>do</t>
  </si>
  <si>
    <t>did</t>
  </si>
  <si>
    <t>will do</t>
  </si>
  <si>
    <t>doing</t>
  </si>
  <si>
    <t>having done</t>
  </si>
  <si>
    <t>having had done</t>
  </si>
  <si>
    <t>being done</t>
  </si>
  <si>
    <t>Empathie</t>
  </si>
  <si>
    <t>partage de conscience</t>
  </si>
  <si>
    <t>partage de sentiment</t>
  </si>
  <si>
    <t>Space</t>
  </si>
  <si>
    <t>Time</t>
  </si>
  <si>
    <t>the moment</t>
  </si>
  <si>
    <t>again</t>
  </si>
  <si>
    <t>the repetition</t>
  </si>
  <si>
    <t>else</t>
  </si>
  <si>
    <t>with</t>
  </si>
  <si>
    <t>without</t>
  </si>
  <si>
    <t>for, in favor of</t>
  </si>
  <si>
    <t>neither</t>
  </si>
  <si>
    <t>plaisir</t>
  </si>
  <si>
    <t>savourer, enjoy</t>
  </si>
  <si>
    <t>apprécier, like</t>
  </si>
  <si>
    <t>Apprendre, étudier</t>
  </si>
  <si>
    <t>plaire</t>
  </si>
  <si>
    <t>blesser</t>
  </si>
  <si>
    <t>souffrir, suporter</t>
  </si>
  <si>
    <t>douleur</t>
  </si>
  <si>
    <t>to know</t>
  </si>
  <si>
    <t>to be told</t>
  </si>
  <si>
    <t>to learn</t>
  </si>
  <si>
    <t>to wilfully forget</t>
  </si>
  <si>
    <t>to forget</t>
  </si>
  <si>
    <t>to take</t>
  </si>
  <si>
    <t>to leave an item</t>
  </si>
  <si>
    <t>to lose</t>
  </si>
  <si>
    <t>to be located</t>
  </si>
  <si>
    <t>the presence (quality)</t>
  </si>
  <si>
    <t>present</t>
  </si>
  <si>
    <t>the absence</t>
  </si>
  <si>
    <t>absent</t>
  </si>
  <si>
    <t>omnipresent</t>
  </si>
  <si>
    <t>to do</t>
  </si>
  <si>
    <t>that will be done</t>
  </si>
  <si>
    <t>the maker</t>
  </si>
  <si>
    <t>the one who has made</t>
  </si>
  <si>
    <t>XXX-on</t>
  </si>
  <si>
    <t>XXX-oj</t>
  </si>
  <si>
    <t>XXX-aj</t>
  </si>
  <si>
    <t>nom pluriel</t>
  </si>
  <si>
    <t>adjectif pluriel</t>
  </si>
  <si>
    <t>the entering (action)</t>
  </si>
  <si>
    <t>agréable</t>
  </si>
  <si>
    <t>suffisant/satisfaisant</t>
  </si>
  <si>
    <t>vrai/exact</t>
  </si>
  <si>
    <t>vertue</t>
  </si>
  <si>
    <t>fidélité</t>
  </si>
  <si>
    <t>espérance</t>
  </si>
  <si>
    <t>courage</t>
  </si>
  <si>
    <t>Traduction Laramin</t>
  </si>
  <si>
    <t>faveur plaisir</t>
  </si>
  <si>
    <t>faveur savoir</t>
  </si>
  <si>
    <t>faveur</t>
  </si>
  <si>
    <t>adj</t>
  </si>
  <si>
    <t>noun</t>
  </si>
  <si>
    <t>bon/favorable</t>
  </si>
  <si>
    <t>élement</t>
  </si>
  <si>
    <t>P</t>
  </si>
  <si>
    <t>T</t>
  </si>
  <si>
    <t>K</t>
  </si>
  <si>
    <t>F</t>
  </si>
  <si>
    <t>S</t>
  </si>
  <si>
    <t>H</t>
  </si>
  <si>
    <t>N</t>
  </si>
  <si>
    <t>Y</t>
  </si>
  <si>
    <t>B</t>
  </si>
  <si>
    <t>D</t>
  </si>
  <si>
    <t>G</t>
  </si>
  <si>
    <t>V</t>
  </si>
  <si>
    <t>Z</t>
  </si>
  <si>
    <t>J</t>
  </si>
  <si>
    <t>R</t>
  </si>
  <si>
    <t>L</t>
  </si>
  <si>
    <t>M</t>
  </si>
  <si>
    <t>W</t>
  </si>
  <si>
    <t>transitif directe volontaire</t>
  </si>
  <si>
    <t>transitif directe involontaire</t>
  </si>
  <si>
    <t>Trouver</t>
  </si>
  <si>
    <t>Abandonner</t>
  </si>
  <si>
    <t>réaliser</t>
  </si>
  <si>
    <t>amour</t>
  </si>
  <si>
    <t>être amoureux</t>
  </si>
  <si>
    <t>être aimé</t>
  </si>
  <si>
    <t>chérir</t>
  </si>
  <si>
    <t>coup de foudre ?</t>
  </si>
  <si>
    <t>Intérêt</t>
  </si>
  <si>
    <t>Intéresser</t>
  </si>
  <si>
    <t>être intéressant</t>
  </si>
  <si>
    <t>Estimer</t>
  </si>
  <si>
    <t>Pay attention</t>
  </si>
  <si>
    <t>être attentif</t>
  </si>
  <si>
    <t>Perdre intérêt</t>
  </si>
  <si>
    <t>X</t>
  </si>
  <si>
    <t>perdre l'amour</t>
  </si>
  <si>
    <t>to go back</t>
  </si>
  <si>
    <t>the existence</t>
  </si>
  <si>
    <t>the nothingness</t>
  </si>
  <si>
    <t>not to be</t>
  </si>
  <si>
    <t>soon</t>
  </si>
  <si>
    <t>similar</t>
  </si>
  <si>
    <t>to be like</t>
  </si>
  <si>
    <t>near</t>
  </si>
  <si>
    <t>far</t>
  </si>
  <si>
    <t>different</t>
  </si>
  <si>
    <t>to differ from</t>
  </si>
  <si>
    <t>the difference (quality)</t>
  </si>
  <si>
    <t>the similatity (quality)</t>
  </si>
  <si>
    <t>almost, nearly</t>
  </si>
  <si>
    <t>almost not, hardly</t>
  </si>
  <si>
    <t>the length</t>
  </si>
  <si>
    <t>the area</t>
  </si>
  <si>
    <t>the volume</t>
  </si>
  <si>
    <t>the duration</t>
  </si>
  <si>
    <t>the time, happening</t>
  </si>
  <si>
    <t>the piece of area</t>
  </si>
  <si>
    <t>the period</t>
  </si>
  <si>
    <t>the proximity</t>
  </si>
  <si>
    <t>the distance</t>
  </si>
  <si>
    <t>the line</t>
  </si>
  <si>
    <t>the entrance</t>
  </si>
  <si>
    <t>Transcendance</t>
  </si>
  <si>
    <t>Question</t>
  </si>
  <si>
    <t>Magnitude</t>
  </si>
  <si>
    <t>Element</t>
  </si>
  <si>
    <t>Contribution</t>
  </si>
  <si>
    <t>Existence</t>
  </si>
  <si>
    <t>Relation</t>
  </si>
  <si>
    <t>Action</t>
  </si>
  <si>
    <t>Objet</t>
  </si>
  <si>
    <t>Joker-Initial</t>
  </si>
  <si>
    <t>Noun</t>
  </si>
  <si>
    <t>Verb</t>
  </si>
  <si>
    <t>Personal pronouns</t>
  </si>
  <si>
    <t>the thing</t>
  </si>
  <si>
    <t>the action</t>
  </si>
  <si>
    <t>active</t>
  </si>
  <si>
    <t>the quality</t>
  </si>
  <si>
    <t>the group</t>
  </si>
  <si>
    <t>to be together</t>
  </si>
  <si>
    <t>of the group</t>
  </si>
  <si>
    <t>the object</t>
  </si>
  <si>
    <t>the property</t>
  </si>
  <si>
    <t>Property</t>
  </si>
  <si>
    <t>plus</t>
  </si>
  <si>
    <t>to remain</t>
  </si>
  <si>
    <t>to keep</t>
  </si>
  <si>
    <t>to become</t>
  </si>
  <si>
    <t>the doer, the actor</t>
  </si>
  <si>
    <t>Prendre à qqn</t>
  </si>
  <si>
    <t>Oublier, neglect</t>
  </si>
  <si>
    <t>Oublier, forget</t>
  </si>
  <si>
    <t>Give something to someone</t>
  </si>
  <si>
    <t>Where are they ?</t>
  </si>
  <si>
    <t>You can go where you want.</t>
  </si>
  <si>
    <t>You can go anywhere.</t>
  </si>
  <si>
    <t>You can go everywhere.</t>
  </si>
  <si>
    <t>the past</t>
  </si>
  <si>
    <t>to be over</t>
  </si>
  <si>
    <t>to spend time</t>
  </si>
  <si>
    <t>not to be over</t>
  </si>
  <si>
    <t>no</t>
  </si>
  <si>
    <t>to measure</t>
  </si>
  <si>
    <t>to happen</t>
  </si>
  <si>
    <t>to happen again</t>
  </si>
  <si>
    <t>the attendence (action)</t>
  </si>
  <si>
    <t>the futur</t>
  </si>
  <si>
    <t>the past time</t>
  </si>
  <si>
    <t>the present</t>
  </si>
  <si>
    <t>futur</t>
  </si>
  <si>
    <t>past</t>
  </si>
  <si>
    <t>the begining</t>
  </si>
  <si>
    <t>to be inside</t>
  </si>
  <si>
    <t>to put in</t>
  </si>
  <si>
    <t>back</t>
  </si>
  <si>
    <t>to change back</t>
  </si>
  <si>
    <t>to come from</t>
  </si>
  <si>
    <t>to be outside</t>
  </si>
  <si>
    <t>inwards</t>
  </si>
  <si>
    <t>outwards</t>
  </si>
  <si>
    <t>the exit</t>
  </si>
  <si>
    <t>the origin</t>
  </si>
  <si>
    <t>initial</t>
  </si>
  <si>
    <t>to begin</t>
  </si>
  <si>
    <t>initialy</t>
  </si>
  <si>
    <t>the end</t>
  </si>
  <si>
    <t>final</t>
  </si>
  <si>
    <t>to end</t>
  </si>
  <si>
    <t>finally</t>
  </si>
  <si>
    <t>untill</t>
  </si>
  <si>
    <t>to cease</t>
  </si>
  <si>
    <t>the stop</t>
  </si>
  <si>
    <t>the edge</t>
  </si>
  <si>
    <t>in the begining</t>
  </si>
  <si>
    <t>the source</t>
  </si>
  <si>
    <t>marginal</t>
  </si>
  <si>
    <t>ultimate</t>
  </si>
  <si>
    <t>primitive</t>
  </si>
  <si>
    <t>Topology : inside</t>
  </si>
  <si>
    <t>Topology : origin</t>
  </si>
  <si>
    <t>Proximity</t>
  </si>
  <si>
    <t>the discrepancy</t>
  </si>
  <si>
    <t>the common point</t>
  </si>
  <si>
    <t>in a while</t>
  </si>
  <si>
    <t>away</t>
  </si>
  <si>
    <t>imminent</t>
  </si>
  <si>
    <t>distant</t>
  </si>
  <si>
    <t>but</t>
  </si>
  <si>
    <t>Correlatives</t>
  </si>
  <si>
    <t>backward</t>
  </si>
  <si>
    <t>Participals</t>
  </si>
  <si>
    <t>the thing being done</t>
  </si>
  <si>
    <t>to last</t>
  </si>
  <si>
    <t>the self</t>
  </si>
  <si>
    <t>by itself</t>
  </si>
  <si>
    <t>I myself</t>
  </si>
  <si>
    <t>myself</t>
  </si>
  <si>
    <t>of</t>
  </si>
  <si>
    <t>during</t>
  </si>
  <si>
    <t>against</t>
  </si>
  <si>
    <t>like</t>
  </si>
  <si>
    <t>unlike</t>
  </si>
  <si>
    <t>Conjugation</t>
  </si>
  <si>
    <t>Thing</t>
  </si>
  <si>
    <t>Place</t>
  </si>
  <si>
    <t>Undefined</t>
  </si>
  <si>
    <t>Total</t>
  </si>
  <si>
    <t>None</t>
  </si>
  <si>
    <t>This person</t>
  </si>
  <si>
    <t>Person</t>
  </si>
  <si>
    <t>Goal</t>
  </si>
  <si>
    <t>Reason</t>
  </si>
  <si>
    <t>Manner</t>
  </si>
  <si>
    <t>Owner</t>
  </si>
  <si>
    <t>This person's</t>
  </si>
  <si>
    <t>Someone's</t>
  </si>
  <si>
    <t>Whose ?</t>
  </si>
  <si>
    <t>Whose</t>
  </si>
  <si>
    <t>Everybody's</t>
  </si>
  <si>
    <t>Anybody's</t>
  </si>
  <si>
    <t>Nobody's</t>
  </si>
  <si>
    <t>Female</t>
  </si>
  <si>
    <t>Human</t>
  </si>
  <si>
    <t>Self</t>
  </si>
  <si>
    <t>Quality</t>
  </si>
  <si>
    <t>Trend</t>
  </si>
  <si>
    <t>Will</t>
  </si>
  <si>
    <t>Author</t>
  </si>
  <si>
    <t>Power</t>
  </si>
  <si>
    <t>Negation</t>
  </si>
  <si>
    <t>Inside</t>
  </si>
  <si>
    <t>Equality</t>
  </si>
  <si>
    <t>Combination</t>
  </si>
  <si>
    <t>Quantity</t>
  </si>
  <si>
    <t>Group</t>
  </si>
  <si>
    <t>Origin</t>
  </si>
  <si>
    <t>Choice</t>
  </si>
  <si>
    <t>Life</t>
  </si>
  <si>
    <t>Good</t>
  </si>
  <si>
    <t>You</t>
  </si>
  <si>
    <t>Show</t>
  </si>
  <si>
    <t>Whole</t>
  </si>
  <si>
    <t>Neutrality</t>
  </si>
  <si>
    <t>the return</t>
  </si>
  <si>
    <t>the combination</t>
  </si>
  <si>
    <t>and</t>
  </si>
  <si>
    <t>together</t>
  </si>
  <si>
    <t>to combine</t>
  </si>
  <si>
    <t>the division</t>
  </si>
  <si>
    <t>the unity</t>
  </si>
  <si>
    <t>united</t>
  </si>
  <si>
    <t>to put together</t>
  </si>
  <si>
    <t>to join</t>
  </si>
  <si>
    <t>to undergo</t>
  </si>
  <si>
    <t xml:space="preserve">to be </t>
  </si>
  <si>
    <t>passive</t>
  </si>
  <si>
    <t>actively</t>
  </si>
  <si>
    <t>passively</t>
  </si>
  <si>
    <t>already</t>
  </si>
  <si>
    <t>not yet</t>
  </si>
  <si>
    <t>conversely</t>
  </si>
  <si>
    <t>not</t>
  </si>
  <si>
    <t>furthermore</t>
  </si>
  <si>
    <t>the increase</t>
  </si>
  <si>
    <t>the keeper</t>
  </si>
  <si>
    <t>the factor of change</t>
  </si>
  <si>
    <t>Ambivalents</t>
  </si>
  <si>
    <t>Static derivators</t>
  </si>
  <si>
    <t>Dynamic derivators</t>
  </si>
  <si>
    <t>to be combined</t>
  </si>
  <si>
    <t>to increase</t>
  </si>
  <si>
    <t>more</t>
  </si>
  <si>
    <t>the magnitude</t>
  </si>
  <si>
    <t>very</t>
  </si>
  <si>
    <t>to be great</t>
  </si>
  <si>
    <t>great</t>
  </si>
  <si>
    <t>to be more</t>
  </si>
  <si>
    <t>both, altogether</t>
  </si>
  <si>
    <t>combined</t>
  </si>
  <si>
    <t>by</t>
  </si>
  <si>
    <t>to group, add</t>
  </si>
  <si>
    <t>intense</t>
  </si>
  <si>
    <t>the intensity</t>
  </si>
  <si>
    <t>to be intense</t>
  </si>
  <si>
    <t>wide</t>
  </si>
  <si>
    <t>widely</t>
  </si>
  <si>
    <t>Select the two gray columns and create the "names" from the left column.</t>
  </si>
  <si>
    <t>Past</t>
  </si>
  <si>
    <t>datif : Trend, Origin</t>
  </si>
  <si>
    <t>More</t>
  </si>
  <si>
    <t>Thing matérielle</t>
  </si>
  <si>
    <t>correct Quantity/qualit</t>
  </si>
  <si>
    <t xml:space="preserve">to belong </t>
  </si>
  <si>
    <t>the ownership</t>
  </si>
  <si>
    <t xml:space="preserve">the belonging </t>
  </si>
  <si>
    <t>the trend</t>
  </si>
  <si>
    <t>the direction</t>
  </si>
  <si>
    <t>still</t>
  </si>
  <si>
    <t>constant</t>
  </si>
  <si>
    <t>the everlasting</t>
  </si>
  <si>
    <t>to orientate</t>
  </si>
  <si>
    <t>Topology : dynamics</t>
  </si>
  <si>
    <t>to start from</t>
  </si>
  <si>
    <t>at the end</t>
  </si>
  <si>
    <t>repetitive</t>
  </si>
  <si>
    <t>spacially</t>
  </si>
  <si>
    <t>temporal</t>
  </si>
  <si>
    <t>timely</t>
  </si>
  <si>
    <t>the superior level</t>
  </si>
  <si>
    <t>the inferior level</t>
  </si>
  <si>
    <t>transcendant</t>
  </si>
  <si>
    <t>to transcend</t>
  </si>
  <si>
    <t>above (trans.)</t>
  </si>
  <si>
    <t>below (trans.)</t>
  </si>
  <si>
    <t>time</t>
  </si>
  <si>
    <t>space</t>
  </si>
  <si>
    <t>the place, volume</t>
  </si>
  <si>
    <t>the destination</t>
  </si>
  <si>
    <t>now</t>
  </si>
  <si>
    <t>in the past</t>
  </si>
  <si>
    <t>in the future</t>
  </si>
  <si>
    <t>to be past</t>
  </si>
  <si>
    <t>to be future</t>
  </si>
  <si>
    <t>the driver</t>
  </si>
  <si>
    <t>directional</t>
  </si>
  <si>
    <t>the presence</t>
  </si>
  <si>
    <t>to be everywhere</t>
  </si>
  <si>
    <t>to want</t>
  </si>
  <si>
    <t>the gathering, addition</t>
  </si>
  <si>
    <t>additional</t>
  </si>
  <si>
    <t>supplementary</t>
  </si>
  <si>
    <t>the superiority</t>
  </si>
  <si>
    <t>superior</t>
  </si>
  <si>
    <t>the wide space</t>
  </si>
  <si>
    <t>so that</t>
  </si>
  <si>
    <t>New</t>
  </si>
  <si>
    <t>the new thing</t>
  </si>
  <si>
    <t>the originality</t>
  </si>
  <si>
    <t>new, original</t>
  </si>
  <si>
    <t>to be new</t>
  </si>
  <si>
    <t>newly</t>
  </si>
  <si>
    <t>the curiosity</t>
  </si>
  <si>
    <t>curious</t>
  </si>
  <si>
    <t>to renovate</t>
  </si>
  <si>
    <t>the renewal</t>
  </si>
  <si>
    <t>to create</t>
  </si>
  <si>
    <t>Light</t>
  </si>
  <si>
    <t>the light</t>
  </si>
  <si>
    <t>the day</t>
  </si>
  <si>
    <t>bright</t>
  </si>
  <si>
    <t>the night</t>
  </si>
  <si>
    <t>the darkness</t>
  </si>
  <si>
    <t>dark</t>
  </si>
  <si>
    <t>today</t>
  </si>
  <si>
    <t>tonight</t>
  </si>
  <si>
    <t>yesterday</t>
  </si>
  <si>
    <t>tomorrow</t>
  </si>
  <si>
    <t>Topology : date</t>
  </si>
  <si>
    <t>Topology : time &amp; space</t>
  </si>
  <si>
    <t>brightly</t>
  </si>
  <si>
    <t>darkly</t>
  </si>
  <si>
    <t>to be daytime</t>
  </si>
  <si>
    <t>to be nightime</t>
  </si>
  <si>
    <t>in daytime</t>
  </si>
  <si>
    <t>in nightime</t>
  </si>
  <si>
    <t>the birthday</t>
  </si>
  <si>
    <t>to be many</t>
  </si>
  <si>
    <t>numerous</t>
  </si>
  <si>
    <t>the multitude</t>
  </si>
  <si>
    <t>the sensation</t>
  </si>
  <si>
    <t>sensorial</t>
  </si>
  <si>
    <t>to feel</t>
  </si>
  <si>
    <t>the sight</t>
  </si>
  <si>
    <t>visual</t>
  </si>
  <si>
    <t>to see</t>
  </si>
  <si>
    <t>visually</t>
  </si>
  <si>
    <t>the pleasure</t>
  </si>
  <si>
    <t>enjoyable</t>
  </si>
  <si>
    <t>the colour</t>
  </si>
  <si>
    <t>to be colorful</t>
  </si>
  <si>
    <t>colorful</t>
  </si>
  <si>
    <t>the light intensity</t>
  </si>
  <si>
    <t>to dazzle</t>
  </si>
  <si>
    <t>dazzling</t>
  </si>
  <si>
    <t>the blindness</t>
  </si>
  <si>
    <t>blind</t>
  </si>
  <si>
    <t>Character ideas :</t>
  </si>
  <si>
    <t>Air / gaz</t>
  </si>
  <si>
    <t>Solid</t>
  </si>
  <si>
    <t>Liquid</t>
  </si>
  <si>
    <t>sensation&amp;air = sound</t>
  </si>
  <si>
    <t>quality&amp;solid = hard</t>
  </si>
  <si>
    <t>home</t>
  </si>
  <si>
    <t>altitude</t>
  </si>
  <si>
    <t>the truth</t>
  </si>
  <si>
    <t xml:space="preserve"> true</t>
  </si>
  <si>
    <t>to ignore</t>
  </si>
  <si>
    <t>the ignorance</t>
  </si>
  <si>
    <t>ignorant</t>
  </si>
  <si>
    <t>knowledgeable</t>
  </si>
  <si>
    <t>aware</t>
  </si>
  <si>
    <t>the awareness</t>
  </si>
  <si>
    <t>to be aware</t>
  </si>
  <si>
    <t xml:space="preserve"> false</t>
  </si>
  <si>
    <t>the false</t>
  </si>
  <si>
    <t>to be true</t>
  </si>
  <si>
    <t>to be false</t>
  </si>
  <si>
    <t>the right</t>
  </si>
  <si>
    <t>the wrong</t>
  </si>
  <si>
    <t>right</t>
  </si>
  <si>
    <t>wrong</t>
  </si>
  <si>
    <t>to be right</t>
  </si>
  <si>
    <t>to be wrong</t>
  </si>
  <si>
    <t>satisfaction</t>
  </si>
  <si>
    <t>to be enought</t>
  </si>
  <si>
    <t>Satisfaction</t>
  </si>
  <si>
    <t>the pain</t>
  </si>
  <si>
    <t>painful</t>
  </si>
  <si>
    <t>the will</t>
  </si>
  <si>
    <t>curiously</t>
  </si>
  <si>
    <t>the honnesty</t>
  </si>
  <si>
    <t>honest</t>
  </si>
  <si>
    <t>honestly</t>
  </si>
  <si>
    <t>the image</t>
  </si>
  <si>
    <t>to be enjoyable</t>
  </si>
  <si>
    <t>to be painful</t>
  </si>
  <si>
    <t>Sensation &amp; knowledge</t>
  </si>
  <si>
    <t>the kindness</t>
  </si>
  <si>
    <t>the intention</t>
  </si>
  <si>
    <t>the knowledge</t>
  </si>
  <si>
    <t>known</t>
  </si>
  <si>
    <t>directing</t>
  </si>
  <si>
    <t>Good &amp; enough</t>
  </si>
  <si>
    <t>enough</t>
  </si>
  <si>
    <t>to satisfy</t>
  </si>
  <si>
    <t>the satisfied</t>
  </si>
  <si>
    <t>the satisfaction</t>
  </si>
  <si>
    <t>satisfied</t>
  </si>
  <si>
    <t>to be satisfied</t>
  </si>
  <si>
    <t>desired</t>
  </si>
  <si>
    <t>the desired</t>
  </si>
  <si>
    <t>to be desired</t>
  </si>
  <si>
    <t>to have</t>
  </si>
  <si>
    <t>to shine</t>
  </si>
  <si>
    <t>past, over</t>
  </si>
  <si>
    <t>me</t>
  </si>
  <si>
    <t>increasingly</t>
  </si>
  <si>
    <t>to be wide</t>
  </si>
  <si>
    <t>be</t>
  </si>
  <si>
    <t>go</t>
  </si>
  <si>
    <t>have</t>
  </si>
  <si>
    <t>give</t>
  </si>
  <si>
    <t>take</t>
  </si>
  <si>
    <t>buy</t>
  </si>
  <si>
    <t>say</t>
  </si>
  <si>
    <t>look</t>
  </si>
  <si>
    <t>want</t>
  </si>
  <si>
    <t>can</t>
  </si>
  <si>
    <t>must</t>
  </si>
  <si>
    <t>eat</t>
  </si>
  <si>
    <t>drink</t>
  </si>
  <si>
    <t>sleep</t>
  </si>
  <si>
    <t>live</t>
  </si>
  <si>
    <t>work</t>
  </si>
  <si>
    <t>also</t>
  </si>
  <si>
    <t>less</t>
  </si>
  <si>
    <t>you</t>
  </si>
  <si>
    <t>this</t>
  </si>
  <si>
    <t>that</t>
  </si>
  <si>
    <t>man</t>
  </si>
  <si>
    <t>here</t>
  </si>
  <si>
    <t>there</t>
  </si>
  <si>
    <t>day</t>
  </si>
  <si>
    <t>night</t>
  </si>
  <si>
    <t>morning</t>
  </si>
  <si>
    <t>city</t>
  </si>
  <si>
    <t>sea</t>
  </si>
  <si>
    <t>sky</t>
  </si>
  <si>
    <t>song</t>
  </si>
  <si>
    <t>Word</t>
  </si>
  <si>
    <t>Priority</t>
  </si>
  <si>
    <t>Translation</t>
  </si>
  <si>
    <t>Adverb</t>
  </si>
  <si>
    <t>good</t>
  </si>
  <si>
    <t>cute</t>
  </si>
  <si>
    <t>old</t>
  </si>
  <si>
    <t>cheap</t>
  </si>
  <si>
    <t>hot</t>
  </si>
  <si>
    <t>tasty</t>
  </si>
  <si>
    <t>at</t>
  </si>
  <si>
    <t>or</t>
  </si>
  <si>
    <t>if</t>
  </si>
  <si>
    <t>what</t>
  </si>
  <si>
    <t>who</t>
  </si>
  <si>
    <t>where</t>
  </si>
  <si>
    <t>when</t>
  </si>
  <si>
    <t>why</t>
  </si>
  <si>
    <t>how</t>
  </si>
  <si>
    <t>because</t>
  </si>
  <si>
    <t>all</t>
  </si>
  <si>
    <t>always</t>
  </si>
  <si>
    <t>Score</t>
  </si>
  <si>
    <t>true</t>
  </si>
  <si>
    <t xml:space="preserve">Adjective </t>
  </si>
  <si>
    <t xml:space="preserve">Preposition </t>
  </si>
  <si>
    <t>Correlative</t>
  </si>
  <si>
    <t>Summary and evaluation of basic vocabulary</t>
  </si>
  <si>
    <t>Topic</t>
  </si>
  <si>
    <t>property</t>
  </si>
  <si>
    <t>will &amp; power</t>
  </si>
  <si>
    <t>living</t>
  </si>
  <si>
    <t>items</t>
  </si>
  <si>
    <t xml:space="preserve"> </t>
  </si>
  <si>
    <t>Letters</t>
  </si>
  <si>
    <t>that will do</t>
  </si>
  <si>
    <t>the one who will do</t>
  </si>
  <si>
    <t>the cause</t>
  </si>
  <si>
    <t>to cause</t>
  </si>
  <si>
    <t>the consequence</t>
  </si>
  <si>
    <t>Opposit&amp;Power =  limit</t>
  </si>
  <si>
    <t>!</t>
  </si>
  <si>
    <t>Opposit&amp;Origin = end, limit</t>
  </si>
  <si>
    <t>Opposit&amp;Origin&amp;Action&amp;Will = goal</t>
  </si>
  <si>
    <t>Show near</t>
  </si>
  <si>
    <t>Any</t>
  </si>
  <si>
    <t>Root</t>
  </si>
  <si>
    <t>letters by usual words</t>
  </si>
  <si>
    <t>group</t>
  </si>
  <si>
    <t>filosaw</t>
  </si>
  <si>
    <t>lofaw</t>
  </si>
  <si>
    <t>tinotaw</t>
  </si>
  <si>
    <t>totaw</t>
  </si>
  <si>
    <t>lojamifokaw</t>
  </si>
  <si>
    <t>tataw</t>
  </si>
  <si>
    <t>Rule: ommit the 0 other than that of the thousand-threshold</t>
  </si>
  <si>
    <t>Present</t>
  </si>
  <si>
    <t>tamiw</t>
  </si>
  <si>
    <t>C</t>
  </si>
  <si>
    <t>Hexa:</t>
  </si>
  <si>
    <t>sh</t>
  </si>
  <si>
    <t>Dodec</t>
  </si>
  <si>
    <t>to influence</t>
  </si>
  <si>
    <t>Cross</t>
  </si>
  <si>
    <t>Topology : cross</t>
  </si>
  <si>
    <t>the gate</t>
  </si>
  <si>
    <t>to overcome</t>
  </si>
  <si>
    <t>to continue</t>
  </si>
  <si>
    <t>to go through</t>
  </si>
  <si>
    <t>to cross</t>
  </si>
  <si>
    <t>despite</t>
  </si>
  <si>
    <t>enduring</t>
  </si>
  <si>
    <t>the come back</t>
  </si>
  <si>
    <t>the arrival</t>
  </si>
  <si>
    <t>towards</t>
  </si>
  <si>
    <t>the upstream region</t>
  </si>
  <si>
    <t>the downstream region</t>
  </si>
  <si>
    <t>upstream</t>
  </si>
  <si>
    <t>downstream</t>
  </si>
  <si>
    <t>Bin:</t>
  </si>
  <si>
    <t>Deci:</t>
  </si>
  <si>
    <t>through</t>
  </si>
  <si>
    <t>the way through</t>
  </si>
  <si>
    <t>the opportunity, time-window</t>
  </si>
  <si>
    <t>the positive factor</t>
  </si>
  <si>
    <t>to contribute</t>
  </si>
  <si>
    <t>the opposing factor</t>
  </si>
  <si>
    <t>to oppose</t>
  </si>
  <si>
    <t>positive</t>
  </si>
  <si>
    <t>negative</t>
  </si>
  <si>
    <t>positively</t>
  </si>
  <si>
    <t>negatively</t>
  </si>
  <si>
    <t>correctly</t>
  </si>
  <si>
    <t>wrongly</t>
  </si>
  <si>
    <t>kindly</t>
  </si>
  <si>
    <t>the lack</t>
  </si>
  <si>
    <t>not enough</t>
  </si>
  <si>
    <t>not sufficient</t>
  </si>
  <si>
    <t>not to satisfy</t>
  </si>
  <si>
    <t>enjoyably</t>
  </si>
  <si>
    <t>painfuly</t>
  </si>
  <si>
    <t>wicked, malicious</t>
  </si>
  <si>
    <t>the good</t>
  </si>
  <si>
    <t>the evil</t>
  </si>
  <si>
    <t>evil</t>
  </si>
  <si>
    <t>to be good</t>
  </si>
  <si>
    <t>to be evil</t>
  </si>
  <si>
    <t>the bad intention</t>
  </si>
  <si>
    <t>the bad</t>
  </si>
  <si>
    <t>bad</t>
  </si>
  <si>
    <t>to be bad</t>
  </si>
  <si>
    <t>the terrible</t>
  </si>
  <si>
    <t>terrible</t>
  </si>
  <si>
    <t>to be terrible</t>
  </si>
  <si>
    <t>well</t>
  </si>
  <si>
    <t>badly</t>
  </si>
  <si>
    <t>terribly</t>
  </si>
  <si>
    <t>evily</t>
  </si>
  <si>
    <t>the excellence</t>
  </si>
  <si>
    <t>excellent</t>
  </si>
  <si>
    <t>to thrive</t>
  </si>
  <si>
    <t>perfectly</t>
  </si>
  <si>
    <t>excellently</t>
  </si>
  <si>
    <t>the perfection</t>
  </si>
  <si>
    <t>perfect</t>
  </si>
  <si>
    <t>to be perfect</t>
  </si>
  <si>
    <t>the divine mercy</t>
  </si>
  <si>
    <t>merciful</t>
  </si>
  <si>
    <t>to be mercy</t>
  </si>
  <si>
    <t>to be kind</t>
  </si>
  <si>
    <t>to be nasty</t>
  </si>
  <si>
    <t>nastily</t>
  </si>
  <si>
    <t>mercifully</t>
  </si>
  <si>
    <t>the inferiority</t>
  </si>
  <si>
    <t>inferior</t>
  </si>
  <si>
    <t>to be less</t>
  </si>
  <si>
    <t>the decrease</t>
  </si>
  <si>
    <t>substracted</t>
  </si>
  <si>
    <t>to decrease</t>
  </si>
  <si>
    <t>decreasingly</t>
  </si>
  <si>
    <t>the obstacle</t>
  </si>
  <si>
    <t>the shadow</t>
  </si>
  <si>
    <t>the stream</t>
  </si>
  <si>
    <t>to obstruct</t>
  </si>
  <si>
    <t>the art</t>
  </si>
  <si>
    <t>the artist</t>
  </si>
  <si>
    <t>artistic</t>
  </si>
  <si>
    <t>artistically</t>
  </si>
  <si>
    <t>the artwork</t>
  </si>
  <si>
    <t>blindly</t>
  </si>
  <si>
    <t>informational</t>
  </si>
  <si>
    <t>to be known</t>
  </si>
  <si>
    <t>JOKER</t>
  </si>
  <si>
    <t>quality&amp;liquid = fluid</t>
  </si>
  <si>
    <t>for</t>
  </si>
  <si>
    <t>own</t>
  </si>
  <si>
    <t>useful derivator</t>
  </si>
  <si>
    <t>Ending for nouns</t>
  </si>
  <si>
    <t>Ending for  verb</t>
  </si>
  <si>
    <t>Ending for adjective</t>
  </si>
  <si>
    <t>Ending for adverb</t>
  </si>
  <si>
    <t>Ending for accusative noun , Initial for passive participals</t>
  </si>
  <si>
    <t>Pre-Ending for plural</t>
  </si>
  <si>
    <t>Particular function</t>
  </si>
  <si>
    <t>Initial for active participals</t>
  </si>
  <si>
    <t>Initial for reflective ideas</t>
  </si>
  <si>
    <t>to grow</t>
  </si>
  <si>
    <t>Welcome note</t>
  </si>
  <si>
    <t>pouvoir.&amp;"delegation".&amp;chose. = droit</t>
  </si>
  <si>
    <t>Inverse.&amp;pouvoir.&amp;chose. = contrainte</t>
  </si>
  <si>
    <t>to can</t>
  </si>
  <si>
    <t>the possibility</t>
  </si>
  <si>
    <t>possible</t>
  </si>
  <si>
    <t>to be possible</t>
  </si>
  <si>
    <t>the duty</t>
  </si>
  <si>
    <t>mandatory</t>
  </si>
  <si>
    <t>to must</t>
  </si>
  <si>
    <t>definitly</t>
  </si>
  <si>
    <t>the commitment</t>
  </si>
  <si>
    <t>to commit oneself</t>
  </si>
  <si>
    <t>voluntary</t>
  </si>
  <si>
    <t>voluntarily</t>
  </si>
  <si>
    <t>the constraint</t>
  </si>
  <si>
    <t>free</t>
  </si>
  <si>
    <t>freely</t>
  </si>
  <si>
    <t>possibly, maybe</t>
  </si>
  <si>
    <t>the power, freedom</t>
  </si>
  <si>
    <t>Laramin is a constructed language ("conlang")</t>
  </si>
  <si>
    <t>blocked ?</t>
  </si>
  <si>
    <t>Laramin in a nutshell</t>
  </si>
  <si>
    <t>Its name stands for "LAnguage with  RAdical MINimized in number and size"</t>
  </si>
  <si>
    <t>Endings</t>
  </si>
  <si>
    <t>I have changed.</t>
  </si>
  <si>
    <t>yours</t>
  </si>
  <si>
    <t>mine</t>
  </si>
  <si>
    <t>my</t>
  </si>
  <si>
    <t>your</t>
  </si>
  <si>
    <t>his</t>
  </si>
  <si>
    <t>her</t>
  </si>
  <si>
    <t>our</t>
  </si>
  <si>
    <t>he</t>
  </si>
  <si>
    <t>him</t>
  </si>
  <si>
    <t>she</t>
  </si>
  <si>
    <t>hers</t>
  </si>
  <si>
    <t>we (exclusive)</t>
  </si>
  <si>
    <t>ours</t>
  </si>
  <si>
    <t>we all (inclusive)</t>
  </si>
  <si>
    <t>you guys</t>
  </si>
  <si>
    <t>they (masc)</t>
  </si>
  <si>
    <t>they  (masc accus)</t>
  </si>
  <si>
    <t>theirs</t>
  </si>
  <si>
    <t>theirs (plur)</t>
  </si>
  <si>
    <t>they (fem)</t>
  </si>
  <si>
    <t>they  (fem accus)</t>
  </si>
  <si>
    <t>you and I</t>
  </si>
  <si>
    <t>their (fem)</t>
  </si>
  <si>
    <t>their (masc)</t>
  </si>
  <si>
    <t>Welcome to this workbook which contains nearly everything about Laramin.</t>
  </si>
  <si>
    <t>It is both a workshop for me and a showroom for you.</t>
  </si>
  <si>
    <t>Class</t>
  </si>
  <si>
    <t>the obligation</t>
  </si>
  <si>
    <t>forbidden</t>
  </si>
  <si>
    <t>to forbid</t>
  </si>
  <si>
    <t>to be forbidden</t>
  </si>
  <si>
    <t>to allow</t>
  </si>
  <si>
    <t>to be allowed</t>
  </si>
  <si>
    <t>rightful</t>
  </si>
  <si>
    <t>rightfully</t>
  </si>
  <si>
    <t>duely</t>
  </si>
  <si>
    <t>Law</t>
  </si>
  <si>
    <t>the interdiction</t>
  </si>
  <si>
    <t>WIP: Ideas</t>
  </si>
  <si>
    <t>split the Adjective class into "Of adjectives", and "With adjectives"</t>
  </si>
  <si>
    <t>the omnipresent</t>
  </si>
  <si>
    <t>the omnipresence (quality)</t>
  </si>
  <si>
    <t>the harbour</t>
  </si>
  <si>
    <t>the airport</t>
  </si>
  <si>
    <t>Gas</t>
  </si>
  <si>
    <t>gentle</t>
  </si>
  <si>
    <t>Ending for future tense</t>
  </si>
  <si>
    <t>Ending for past tense</t>
  </si>
  <si>
    <t>Ending for present tense</t>
  </si>
  <si>
    <t>at (time)</t>
  </si>
  <si>
    <t>Inversion</t>
  </si>
  <si>
    <t>due</t>
  </si>
  <si>
    <t>spacial / wide ?</t>
  </si>
  <si>
    <t>the creation act</t>
  </si>
  <si>
    <t>to enter</t>
  </si>
  <si>
    <t>to exit</t>
  </si>
  <si>
    <t>the thing already done</t>
  </si>
  <si>
    <t>Future</t>
  </si>
  <si>
    <t>Preterit</t>
  </si>
  <si>
    <t>Conditional</t>
  </si>
  <si>
    <t>Volitiv</t>
  </si>
  <si>
    <t>Infinitive</t>
  </si>
  <si>
    <t>FFFFFFFFF</t>
  </si>
  <si>
    <t>(loul)</t>
  </si>
  <si>
    <t>shishoshashishoshashishoshaw</t>
  </si>
  <si>
    <t>c</t>
  </si>
  <si>
    <t>Value</t>
  </si>
  <si>
    <t>the value</t>
  </si>
  <si>
    <t>the merit</t>
  </si>
  <si>
    <t>precious</t>
  </si>
  <si>
    <t>the price</t>
  </si>
  <si>
    <t>to be worth</t>
  </si>
  <si>
    <t>to cost</t>
  </si>
  <si>
    <t>the money</t>
  </si>
  <si>
    <t>Bright room = Room which has light     Light speed = Speed of light</t>
  </si>
  <si>
    <t xml:space="preserve">Merge the forms of word associations: </t>
  </si>
  <si>
    <t>The concept is to build everything from a small limited set of unchanged radicals, representing fundamental ideas.</t>
  </si>
  <si>
    <t>The combination of radicals if so strait forward that it is handeled by Excel, which performs combinations by simple concatenation.</t>
  </si>
  <si>
    <t>This helps keeping low the number of radicals.</t>
  </si>
  <si>
    <t>For any query or further explanations, please feel free to email me at:</t>
  </si>
  <si>
    <t>reverse</t>
  </si>
  <si>
    <t>the gift</t>
  </si>
  <si>
    <t xml:space="preserve">the thing possessed </t>
  </si>
  <si>
    <t>the language</t>
  </si>
  <si>
    <t>the piece of information</t>
  </si>
  <si>
    <t>Introduction to the Laramin language</t>
  </si>
  <si>
    <t>XXX-ajo</t>
  </si>
  <si>
    <t>Questionning (process):</t>
  </si>
  <si>
    <t>XXX-ajxo</t>
  </si>
  <si>
    <t>Comparison with espéranto</t>
  </si>
  <si>
    <t>to make, to turn</t>
  </si>
  <si>
    <t xml:space="preserve">Large: </t>
  </si>
  <si>
    <t xml:space="preserve">to increase: </t>
  </si>
  <si>
    <t xml:space="preserve">the magnitude: </t>
  </si>
  <si>
    <t>to do:</t>
  </si>
  <si>
    <t xml:space="preserve">doing, who is doing: </t>
  </si>
  <si>
    <t xml:space="preserve">done, who is being done: </t>
  </si>
  <si>
    <t xml:space="preserve">what is doing: </t>
  </si>
  <si>
    <t xml:space="preserve">what is being done: </t>
  </si>
  <si>
    <t xml:space="preserve">the feminity: </t>
  </si>
  <si>
    <t>female :</t>
  </si>
  <si>
    <t>the female :</t>
  </si>
  <si>
    <t>the question :</t>
  </si>
  <si>
    <t xml:space="preserve">In Laramin, every component is given a semantic content. </t>
  </si>
  <si>
    <t>(the marker for plural taken alone would mean "group", the marker for adverb would mean "manner", etc.)</t>
  </si>
  <si>
    <t>www.notesdevoyage.com</t>
  </si>
  <si>
    <t>Or visit:</t>
  </si>
  <si>
    <t>to tell, to teach</t>
  </si>
  <si>
    <t>to know, to have knowledge</t>
  </si>
  <si>
    <t>the manner, the method</t>
  </si>
  <si>
    <t>to hinder</t>
  </si>
  <si>
    <t>to enable</t>
  </si>
  <si>
    <t>the right way</t>
  </si>
  <si>
    <t>not to can</t>
  </si>
  <si>
    <t>the dignity</t>
  </si>
  <si>
    <t>the delegation</t>
  </si>
  <si>
    <t>the appointed</t>
  </si>
  <si>
    <t>appointed</t>
  </si>
  <si>
    <t>to be appointed</t>
  </si>
  <si>
    <t>through delegation</t>
  </si>
  <si>
    <t>Numbers are defined as a specific word class, ending with letter W, refering to "We": the countable element</t>
  </si>
  <si>
    <t>to invert</t>
  </si>
  <si>
    <t>to be opposite</t>
  </si>
  <si>
    <t>the opposite</t>
  </si>
  <si>
    <t>the inversion (process)</t>
  </si>
  <si>
    <t>the way</t>
  </si>
  <si>
    <t>Body</t>
  </si>
  <si>
    <t>Heart</t>
  </si>
  <si>
    <t>the art (sensorial)</t>
  </si>
  <si>
    <t>the art (emotional)</t>
  </si>
  <si>
    <t>Mind</t>
  </si>
  <si>
    <t>the language (general)</t>
  </si>
  <si>
    <t>=</t>
  </si>
  <si>
    <t>Literary translation</t>
  </si>
  <si>
    <t>the way to alter</t>
  </si>
  <si>
    <t>the change</t>
  </si>
  <si>
    <t>the action to put in</t>
  </si>
  <si>
    <t>the introduction</t>
  </si>
  <si>
    <t>the way to convey message</t>
  </si>
  <si>
    <t>the way to give emotions</t>
  </si>
  <si>
    <t>the way to give sensation</t>
  </si>
  <si>
    <t>the way to give knowledge</t>
  </si>
  <si>
    <t>Literal translation</t>
  </si>
  <si>
    <t>Laranum</t>
  </si>
  <si>
    <t>Laramin</t>
  </si>
  <si>
    <t>the way to give</t>
  </si>
  <si>
    <t>to terminate</t>
  </si>
  <si>
    <t>la</t>
  </si>
  <si>
    <t>ra</t>
  </si>
  <si>
    <t>mi</t>
  </si>
  <si>
    <t>All</t>
  </si>
  <si>
    <t>are born</t>
  </si>
  <si>
    <t>humans</t>
  </si>
  <si>
    <t xml:space="preserve">. </t>
  </si>
  <si>
    <t>They</t>
  </si>
  <si>
    <t xml:space="preserve">, </t>
  </si>
  <si>
    <t>should</t>
  </si>
  <si>
    <t>act</t>
  </si>
  <si>
    <t>Belong</t>
  </si>
  <si>
    <t>Information</t>
  </si>
  <si>
    <t>Tool</t>
  </si>
  <si>
    <t>Electricity</t>
  </si>
  <si>
    <t>Connection</t>
  </si>
  <si>
    <t>us</t>
  </si>
  <si>
    <t>the loss</t>
  </si>
  <si>
    <t>to receive, to be provided</t>
  </si>
  <si>
    <t>to give (something)</t>
  </si>
  <si>
    <t>to provide (to someone)</t>
  </si>
  <si>
    <t>to give oneself</t>
  </si>
  <si>
    <t>the volunteer</t>
  </si>
  <si>
    <t>&lt;</t>
  </si>
  <si>
    <t>Declaration</t>
  </si>
  <si>
    <t>of the rights</t>
  </si>
  <si>
    <t>universal</t>
  </si>
  <si>
    <t>&gt;</t>
  </si>
  <si>
    <t>toward</t>
  </si>
  <si>
    <t>in a spirit of brotherhood</t>
  </si>
  <si>
    <t>.</t>
  </si>
  <si>
    <t>one another</t>
  </si>
  <si>
    <t>of Mankind</t>
  </si>
  <si>
    <t>Reciprocal</t>
  </si>
  <si>
    <t>We are here !</t>
  </si>
  <si>
    <t xml:space="preserve">the information </t>
  </si>
  <si>
    <t>undefinite article</t>
  </si>
  <si>
    <t>U</t>
  </si>
  <si>
    <t>O</t>
  </si>
  <si>
    <t>Larafon:</t>
  </si>
  <si>
    <t>Anatol:</t>
  </si>
  <si>
    <t>Latin:</t>
  </si>
  <si>
    <t>to be given to</t>
  </si>
  <si>
    <t>with (band)</t>
  </si>
  <si>
    <t>Q</t>
  </si>
  <si>
    <t>[</t>
  </si>
  <si>
    <t>\</t>
  </si>
  <si>
    <t>]</t>
  </si>
  <si>
    <t>^_</t>
  </si>
  <si>
    <t>q</t>
  </si>
  <si>
    <t>{</t>
  </si>
  <si>
    <t>|</t>
  </si>
  <si>
    <t>}</t>
  </si>
  <si>
    <t>~</t>
  </si>
  <si>
    <t>¢</t>
  </si>
  <si>
    <t>£</t>
  </si>
  <si>
    <t>¤</t>
  </si>
  <si>
    <t>¥</t>
  </si>
  <si>
    <t>¦</t>
  </si>
  <si>
    <t>§</t>
  </si>
  <si>
    <t>¨</t>
  </si>
  <si>
    <t>©</t>
  </si>
  <si>
    <t>ª</t>
  </si>
  <si>
    <t>«</t>
  </si>
  <si>
    <t>¬</t>
  </si>
  <si>
    <t>®</t>
  </si>
  <si>
    <t>¯</t>
  </si>
  <si>
    <t>°</t>
  </si>
  <si>
    <t>±</t>
  </si>
  <si>
    <t>²</t>
  </si>
  <si>
    <t>³</t>
  </si>
  <si>
    <t>´</t>
  </si>
  <si>
    <t>µ</t>
  </si>
  <si>
    <t>¶</t>
  </si>
  <si>
    <t>·</t>
  </si>
  <si>
    <t>¸</t>
  </si>
  <si>
    <t>¹</t>
  </si>
  <si>
    <t>º</t>
  </si>
  <si>
    <t>»</t>
  </si>
  <si>
    <t>¼</t>
  </si>
  <si>
    <t>½</t>
  </si>
  <si>
    <t>¾</t>
  </si>
  <si>
    <t>¿</t>
  </si>
  <si>
    <t>À</t>
  </si>
  <si>
    <t>Á</t>
  </si>
  <si>
    <t>Â</t>
  </si>
  <si>
    <t>Ã</t>
  </si>
  <si>
    <t>Ä</t>
  </si>
  <si>
    <t>Å</t>
  </si>
  <si>
    <t>Æ</t>
  </si>
  <si>
    <t>Ç</t>
  </si>
  <si>
    <t>pa</t>
  </si>
  <si>
    <t>po</t>
  </si>
  <si>
    <t>pi</t>
  </si>
  <si>
    <t>pu</t>
  </si>
  <si>
    <t>pe</t>
  </si>
  <si>
    <t>ba</t>
  </si>
  <si>
    <t>bo</t>
  </si>
  <si>
    <t>bi</t>
  </si>
  <si>
    <t>bu</t>
  </si>
  <si>
    <t>ta</t>
  </si>
  <si>
    <t>ti</t>
  </si>
  <si>
    <t>tu</t>
  </si>
  <si>
    <t>te</t>
  </si>
  <si>
    <t>da</t>
  </si>
  <si>
    <t>di</t>
  </si>
  <si>
    <t>du</t>
  </si>
  <si>
    <t>de</t>
  </si>
  <si>
    <t>ka</t>
  </si>
  <si>
    <t>ko</t>
  </si>
  <si>
    <t>ki</t>
  </si>
  <si>
    <t>ku</t>
  </si>
  <si>
    <t>ke</t>
  </si>
  <si>
    <t>ga</t>
  </si>
  <si>
    <t>gi</t>
  </si>
  <si>
    <t>gu</t>
  </si>
  <si>
    <t>ge</t>
  </si>
  <si>
    <t>fa</t>
  </si>
  <si>
    <t>fo</t>
  </si>
  <si>
    <t>fi</t>
  </si>
  <si>
    <t>fu</t>
  </si>
  <si>
    <t>fe</t>
  </si>
  <si>
    <t>va</t>
  </si>
  <si>
    <t>vo</t>
  </si>
  <si>
    <t>vi</t>
  </si>
  <si>
    <t>vu</t>
  </si>
  <si>
    <t>ve</t>
  </si>
  <si>
    <t>sa</t>
  </si>
  <si>
    <t>so</t>
  </si>
  <si>
    <t>si</t>
  </si>
  <si>
    <t>su</t>
  </si>
  <si>
    <t>se</t>
  </si>
  <si>
    <t>za</t>
  </si>
  <si>
    <t>zo</t>
  </si>
  <si>
    <t>zi</t>
  </si>
  <si>
    <t>zu</t>
  </si>
  <si>
    <t>ze</t>
  </si>
  <si>
    <t>ca</t>
  </si>
  <si>
    <t>co</t>
  </si>
  <si>
    <t>ci</t>
  </si>
  <si>
    <t>cu</t>
  </si>
  <si>
    <t>ce</t>
  </si>
  <si>
    <t>ja</t>
  </si>
  <si>
    <t>jo</t>
  </si>
  <si>
    <t>ji</t>
  </si>
  <si>
    <t>ju</t>
  </si>
  <si>
    <t>je</t>
  </si>
  <si>
    <t>xa</t>
  </si>
  <si>
    <t>xo</t>
  </si>
  <si>
    <t>xi</t>
  </si>
  <si>
    <t>xu</t>
  </si>
  <si>
    <t>xe</t>
  </si>
  <si>
    <t>ro</t>
  </si>
  <si>
    <t>ri</t>
  </si>
  <si>
    <t>ru</t>
  </si>
  <si>
    <t>re</t>
  </si>
  <si>
    <t>ha</t>
  </si>
  <si>
    <t>ho</t>
  </si>
  <si>
    <t>hi</t>
  </si>
  <si>
    <t>hu</t>
  </si>
  <si>
    <t>lo</t>
  </si>
  <si>
    <t>li</t>
  </si>
  <si>
    <t>lu</t>
  </si>
  <si>
    <t>le</t>
  </si>
  <si>
    <t>na</t>
  </si>
  <si>
    <t>ni</t>
  </si>
  <si>
    <t>nu</t>
  </si>
  <si>
    <t>ne</t>
  </si>
  <si>
    <t>ma</t>
  </si>
  <si>
    <t>mo</t>
  </si>
  <si>
    <t>mu</t>
  </si>
  <si>
    <t>ya</t>
  </si>
  <si>
    <t>yo</t>
  </si>
  <si>
    <t>yi</t>
  </si>
  <si>
    <t>yu</t>
  </si>
  <si>
    <t>ye</t>
  </si>
  <si>
    <t>wa</t>
  </si>
  <si>
    <t>wo</t>
  </si>
  <si>
    <t>wi</t>
  </si>
  <si>
    <t>wu</t>
  </si>
  <si>
    <t>we</t>
  </si>
  <si>
    <t>Cycle</t>
  </si>
  <si>
    <t>Sound</t>
  </si>
  <si>
    <t>¡</t>
  </si>
  <si>
    <t>empty space</t>
  </si>
  <si>
    <t>Larasem</t>
  </si>
  <si>
    <t>/</t>
  </si>
  <si>
    <t>equal in dignity</t>
  </si>
  <si>
    <t>equal in rights</t>
  </si>
  <si>
    <t xml:space="preserve"> conciousness</t>
  </si>
  <si>
    <t>are endowed with</t>
  </si>
  <si>
    <t>reason</t>
  </si>
  <si>
    <t>Call</t>
  </si>
  <si>
    <t>¨mª®/m/hmOE®/ÂÃ¤±®</t>
  </si>
  <si>
    <t>Cosmos</t>
  </si>
  <si>
    <t>Heptagram:</t>
  </si>
  <si>
    <t>abandon Infinitive mood ?</t>
  </si>
  <si>
    <t>istanahutan@gmail.com</t>
  </si>
  <si>
    <t>Condition</t>
  </si>
  <si>
    <t>Larafon</t>
  </si>
  <si>
    <t>Total Words</t>
  </si>
  <si>
    <t>Radicals</t>
  </si>
  <si>
    <t>Nouns</t>
  </si>
  <si>
    <t>Adjectives</t>
  </si>
  <si>
    <t>Verbs</t>
  </si>
  <si>
    <t>Adverbs &amp; complements</t>
  </si>
  <si>
    <t>Prepositions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</si>
</sst>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000"/>
  </numFmts>
  <fonts count="6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u/>
      <sz val="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6"/>
      <name val="Laraphon"/>
    </font>
    <font>
      <sz val="10"/>
      <name val="Larafon"/>
    </font>
    <font>
      <b/>
      <sz val="14"/>
      <name val="Larafon"/>
    </font>
    <font>
      <b/>
      <sz val="18"/>
      <name val="Arial"/>
      <family val="2"/>
    </font>
    <font>
      <sz val="18"/>
      <name val="Arial"/>
      <family val="2"/>
    </font>
    <font>
      <b/>
      <sz val="18"/>
      <name val="Larafon"/>
    </font>
    <font>
      <sz val="16"/>
      <name val="Larafon"/>
    </font>
    <font>
      <sz val="14"/>
      <name val="Larafon"/>
    </font>
    <font>
      <u/>
      <sz val="11"/>
      <name val="Larafon"/>
    </font>
    <font>
      <sz val="18"/>
      <name val="Anatole"/>
    </font>
    <font>
      <b/>
      <sz val="10"/>
      <name val="Laraglyph"/>
    </font>
    <font>
      <b/>
      <sz val="16"/>
      <name val="Laraglyph"/>
    </font>
    <font>
      <sz val="16"/>
      <name val="Arial"/>
      <family val="2"/>
    </font>
    <font>
      <b/>
      <sz val="16"/>
      <name val="Larasem"/>
    </font>
    <font>
      <sz val="16"/>
      <name val="Larasem"/>
    </font>
    <font>
      <sz val="10"/>
      <name val="Larasem"/>
    </font>
    <font>
      <b/>
      <sz val="10"/>
      <name val="Larasem"/>
    </font>
    <font>
      <b/>
      <sz val="11"/>
      <name val="Larasem"/>
    </font>
    <font>
      <b/>
      <sz val="24"/>
      <name val="Larasem"/>
    </font>
    <font>
      <sz val="18"/>
      <name val="Heptagram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0"/>
      <color theme="0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 tint="-0.249977111117893"/>
      <name val="Arial"/>
      <family val="2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1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left"/>
    </xf>
    <xf numFmtId="0" fontId="5" fillId="3" borderId="0" xfId="0" applyFont="1" applyFill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5" fillId="3" borderId="0" xfId="0" applyFont="1" applyFill="1"/>
    <xf numFmtId="0" fontId="46" fillId="0" borderId="7" xfId="0" applyFont="1" applyBorder="1" applyAlignment="1">
      <alignment horizontal="center"/>
    </xf>
    <xf numFmtId="0" fontId="46" fillId="7" borderId="8" xfId="0" applyFont="1" applyFill="1" applyBorder="1" applyAlignment="1">
      <alignment horizontal="center"/>
    </xf>
    <xf numFmtId="0" fontId="46" fillId="7" borderId="3" xfId="0" applyFont="1" applyFill="1" applyBorder="1" applyAlignment="1">
      <alignment horizontal="center"/>
    </xf>
    <xf numFmtId="0" fontId="46" fillId="7" borderId="9" xfId="0" applyFont="1" applyFill="1" applyBorder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5" fillId="6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5" fillId="3" borderId="14" xfId="0" applyFont="1" applyFill="1" applyBorder="1"/>
    <xf numFmtId="0" fontId="10" fillId="0" borderId="0" xfId="0" applyFont="1"/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5" xfId="0" applyFont="1" applyBorder="1"/>
    <xf numFmtId="0" fontId="47" fillId="8" borderId="15" xfId="0" applyFont="1" applyFill="1" applyBorder="1" applyAlignment="1">
      <alignment horizontal="center" vertical="top" wrapText="1"/>
    </xf>
    <xf numFmtId="0" fontId="47" fillId="8" borderId="16" xfId="0" applyFont="1" applyFill="1" applyBorder="1" applyAlignment="1">
      <alignment horizontal="center" vertical="top" wrapText="1"/>
    </xf>
    <xf numFmtId="0" fontId="47" fillId="8" borderId="6" xfId="0" applyFont="1" applyFill="1" applyBorder="1" applyAlignment="1">
      <alignment horizontal="center" vertical="top" wrapText="1"/>
    </xf>
    <xf numFmtId="0" fontId="47" fillId="8" borderId="15" xfId="0" applyFont="1" applyFill="1" applyBorder="1" applyAlignment="1">
      <alignment horizontal="center" vertical="top"/>
    </xf>
    <xf numFmtId="0" fontId="48" fillId="8" borderId="1" xfId="0" applyFont="1" applyFill="1" applyBorder="1" applyAlignment="1">
      <alignment horizontal="center" wrapText="1"/>
    </xf>
    <xf numFmtId="0" fontId="49" fillId="8" borderId="11" xfId="0" applyFont="1" applyFill="1" applyBorder="1" applyAlignment="1">
      <alignment horizontal="center" vertical="top"/>
    </xf>
    <xf numFmtId="0" fontId="49" fillId="8" borderId="7" xfId="0" applyFont="1" applyFill="1" applyBorder="1" applyAlignment="1">
      <alignment horizontal="center" wrapText="1"/>
    </xf>
    <xf numFmtId="0" fontId="49" fillId="8" borderId="11" xfId="0" applyFont="1" applyFill="1" applyBorder="1" applyAlignment="1">
      <alignment horizontal="center" vertical="top" wrapText="1"/>
    </xf>
    <xf numFmtId="0" fontId="49" fillId="8" borderId="0" xfId="0" applyFont="1" applyFill="1" applyBorder="1" applyAlignment="1">
      <alignment horizontal="center" vertical="top" wrapText="1"/>
    </xf>
    <xf numFmtId="0" fontId="49" fillId="8" borderId="7" xfId="0" applyFont="1" applyFill="1" applyBorder="1" applyAlignment="1">
      <alignment horizontal="center" vertical="top"/>
    </xf>
    <xf numFmtId="0" fontId="49" fillId="8" borderId="7" xfId="0" applyFont="1" applyFill="1" applyBorder="1" applyAlignment="1">
      <alignment horizontal="center" vertical="top" wrapText="1"/>
    </xf>
    <xf numFmtId="0" fontId="49" fillId="8" borderId="1" xfId="0" applyFont="1" applyFill="1" applyBorder="1" applyAlignment="1">
      <alignment horizontal="center" vertical="top" wrapText="1"/>
    </xf>
    <xf numFmtId="0" fontId="49" fillId="8" borderId="0" xfId="0" applyFont="1" applyFill="1" applyAlignment="1">
      <alignment horizontal="left"/>
    </xf>
    <xf numFmtId="0" fontId="49" fillId="8" borderId="0" xfId="0" applyFont="1" applyFill="1"/>
    <xf numFmtId="0" fontId="48" fillId="8" borderId="2" xfId="0" applyFont="1" applyFill="1" applyBorder="1" applyAlignment="1">
      <alignment horizontal="center"/>
    </xf>
    <xf numFmtId="0" fontId="49" fillId="8" borderId="15" xfId="0" applyFont="1" applyFill="1" applyBorder="1" applyAlignment="1">
      <alignment horizontal="center" vertical="top"/>
    </xf>
    <xf numFmtId="0" fontId="49" fillId="8" borderId="6" xfId="0" applyFont="1" applyFill="1" applyBorder="1" applyAlignment="1">
      <alignment horizontal="center" wrapText="1"/>
    </xf>
    <xf numFmtId="0" fontId="49" fillId="8" borderId="1" xfId="0" applyFont="1" applyFill="1" applyBorder="1" applyAlignment="1">
      <alignment horizontal="center" vertical="top"/>
    </xf>
    <xf numFmtId="0" fontId="48" fillId="8" borderId="1" xfId="0" applyFont="1" applyFill="1" applyBorder="1" applyAlignment="1">
      <alignment horizontal="center"/>
    </xf>
    <xf numFmtId="0" fontId="49" fillId="8" borderId="11" xfId="0" applyFont="1" applyFill="1" applyBorder="1" applyAlignment="1">
      <alignment horizontal="center" wrapText="1"/>
    </xf>
    <xf numFmtId="0" fontId="49" fillId="8" borderId="11" xfId="0" applyFont="1" applyFill="1" applyBorder="1" applyAlignment="1">
      <alignment horizontal="center"/>
    </xf>
    <xf numFmtId="0" fontId="49" fillId="8" borderId="0" xfId="0" applyFont="1" applyFill="1" applyBorder="1" applyAlignment="1">
      <alignment horizontal="center" wrapText="1"/>
    </xf>
    <xf numFmtId="0" fontId="49" fillId="8" borderId="0" xfId="0" applyFont="1" applyFill="1" applyBorder="1" applyAlignment="1">
      <alignment horizontal="center" vertical="top"/>
    </xf>
    <xf numFmtId="0" fontId="49" fillId="8" borderId="1" xfId="0" applyFont="1" applyFill="1" applyBorder="1" applyAlignment="1">
      <alignment horizontal="center"/>
    </xf>
    <xf numFmtId="0" fontId="49" fillId="8" borderId="0" xfId="0" applyFont="1" applyFill="1" applyBorder="1" applyAlignment="1">
      <alignment horizontal="center"/>
    </xf>
    <xf numFmtId="0" fontId="49" fillId="8" borderId="15" xfId="0" applyFont="1" applyFill="1" applyBorder="1" applyAlignment="1">
      <alignment horizontal="center" wrapText="1"/>
    </xf>
    <xf numFmtId="0" fontId="49" fillId="8" borderId="16" xfId="0" applyFont="1" applyFill="1" applyBorder="1" applyAlignment="1">
      <alignment horizontal="center" wrapText="1"/>
    </xf>
    <xf numFmtId="0" fontId="49" fillId="8" borderId="6" xfId="0" applyFont="1" applyFill="1" applyBorder="1"/>
    <xf numFmtId="0" fontId="49" fillId="8" borderId="16" xfId="0" applyFont="1" applyFill="1" applyBorder="1"/>
    <xf numFmtId="0" fontId="49" fillId="8" borderId="2" xfId="0" applyFont="1" applyFill="1" applyBorder="1" applyAlignment="1">
      <alignment horizontal="center" wrapText="1"/>
    </xf>
    <xf numFmtId="0" fontId="0" fillId="3" borderId="0" xfId="0" applyFill="1" applyAlignment="1">
      <alignment vertical="top"/>
    </xf>
    <xf numFmtId="0" fontId="49" fillId="3" borderId="0" xfId="0" applyFont="1" applyFill="1"/>
    <xf numFmtId="0" fontId="0" fillId="3" borderId="0" xfId="0" applyFill="1" applyAlignment="1">
      <alignment wrapText="1"/>
    </xf>
    <xf numFmtId="0" fontId="5" fillId="4" borderId="1" xfId="0" applyFont="1" applyFill="1" applyBorder="1" applyAlignment="1">
      <alignment horizontal="center"/>
    </xf>
    <xf numFmtId="0" fontId="6" fillId="3" borderId="0" xfId="0" applyFont="1" applyFill="1" applyBorder="1"/>
    <xf numFmtId="0" fontId="9" fillId="3" borderId="0" xfId="0" applyFont="1" applyFill="1" applyBorder="1" applyAlignment="1">
      <alignment horizontal="right" indent="1"/>
    </xf>
    <xf numFmtId="0" fontId="5" fillId="9" borderId="11" xfId="0" applyFont="1" applyFill="1" applyBorder="1" applyAlignment="1">
      <alignment horizontal="left"/>
    </xf>
    <xf numFmtId="0" fontId="5" fillId="9" borderId="15" xfId="0" applyFont="1" applyFill="1" applyBorder="1" applyAlignment="1">
      <alignment horizontal="left"/>
    </xf>
    <xf numFmtId="0" fontId="5" fillId="9" borderId="12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left" indent="1"/>
    </xf>
    <xf numFmtId="0" fontId="14" fillId="10" borderId="8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left"/>
    </xf>
    <xf numFmtId="0" fontId="15" fillId="11" borderId="17" xfId="0" applyFont="1" applyFill="1" applyBorder="1" applyAlignment="1">
      <alignment horizontal="right"/>
    </xf>
    <xf numFmtId="0" fontId="16" fillId="11" borderId="8" xfId="0" applyFont="1" applyFill="1" applyBorder="1" applyAlignment="1">
      <alignment horizontal="left"/>
    </xf>
    <xf numFmtId="0" fontId="14" fillId="12" borderId="8" xfId="0" applyFont="1" applyFill="1" applyBorder="1" applyAlignment="1">
      <alignment horizontal="left"/>
    </xf>
    <xf numFmtId="0" fontId="14" fillId="13" borderId="8" xfId="0" applyFont="1" applyFill="1" applyBorder="1" applyAlignment="1">
      <alignment horizontal="left"/>
    </xf>
    <xf numFmtId="0" fontId="14" fillId="3" borderId="0" xfId="0" applyFont="1" applyFill="1"/>
    <xf numFmtId="0" fontId="5" fillId="3" borderId="18" xfId="0" applyFont="1" applyFill="1" applyBorder="1"/>
    <xf numFmtId="0" fontId="6" fillId="3" borderId="18" xfId="0" applyFont="1" applyFill="1" applyBorder="1"/>
    <xf numFmtId="0" fontId="6" fillId="3" borderId="14" xfId="0" applyFont="1" applyFill="1" applyBorder="1"/>
    <xf numFmtId="0" fontId="5" fillId="3" borderId="19" xfId="0" applyFont="1" applyFill="1" applyBorder="1"/>
    <xf numFmtId="0" fontId="6" fillId="3" borderId="19" xfId="0" applyFont="1" applyFill="1" applyBorder="1"/>
    <xf numFmtId="0" fontId="5" fillId="3" borderId="19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right" indent="1"/>
    </xf>
    <xf numFmtId="0" fontId="9" fillId="3" borderId="19" xfId="0" applyFont="1" applyFill="1" applyBorder="1"/>
    <xf numFmtId="0" fontId="50" fillId="3" borderId="19" xfId="0" applyFont="1" applyFill="1" applyBorder="1" applyAlignment="1">
      <alignment horizontal="right" indent="1"/>
    </xf>
    <xf numFmtId="0" fontId="9" fillId="4" borderId="19" xfId="0" applyFont="1" applyFill="1" applyBorder="1" applyAlignment="1">
      <alignment horizontal="right" indent="1"/>
    </xf>
    <xf numFmtId="0" fontId="51" fillId="3" borderId="0" xfId="0" applyFont="1" applyFill="1"/>
    <xf numFmtId="0" fontId="17" fillId="3" borderId="0" xfId="0" applyFont="1" applyFill="1"/>
    <xf numFmtId="0" fontId="5" fillId="3" borderId="11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 indent="1"/>
    </xf>
    <xf numFmtId="0" fontId="10" fillId="3" borderId="0" xfId="0" applyFont="1" applyFill="1"/>
    <xf numFmtId="0" fontId="15" fillId="12" borderId="3" xfId="0" applyFont="1" applyFill="1" applyBorder="1" applyAlignment="1">
      <alignment horizontal="left" indent="1"/>
    </xf>
    <xf numFmtId="0" fontId="5" fillId="12" borderId="4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18" fillId="3" borderId="0" xfId="0" applyFont="1" applyFill="1" applyBorder="1"/>
    <xf numFmtId="0" fontId="5" fillId="14" borderId="13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5" fillId="13" borderId="17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9" fillId="0" borderId="0" xfId="0" applyFont="1" applyBorder="1" applyAlignment="1">
      <alignment horizontal="right"/>
    </xf>
    <xf numFmtId="0" fontId="5" fillId="0" borderId="21" xfId="0" applyFont="1" applyBorder="1"/>
    <xf numFmtId="0" fontId="0" fillId="0" borderId="2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0" fillId="0" borderId="24" xfId="0" applyBorder="1"/>
    <xf numFmtId="0" fontId="5" fillId="0" borderId="0" xfId="0" applyFont="1" applyBorder="1"/>
    <xf numFmtId="0" fontId="5" fillId="0" borderId="0" xfId="0" quotePrefix="1" applyFont="1" applyBorder="1"/>
    <xf numFmtId="0" fontId="0" fillId="0" borderId="21" xfId="0" applyFont="1" applyFill="1" applyBorder="1"/>
    <xf numFmtId="0" fontId="52" fillId="0" borderId="0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52" fillId="0" borderId="22" xfId="0" applyFont="1" applyBorder="1" applyAlignment="1">
      <alignment horizontal="center"/>
    </xf>
    <xf numFmtId="0" fontId="52" fillId="0" borderId="24" xfId="0" applyFont="1" applyBorder="1" applyAlignment="1">
      <alignment horizontal="center"/>
    </xf>
    <xf numFmtId="0" fontId="0" fillId="0" borderId="0" xfId="0" applyFont="1" applyFill="1" applyBorder="1"/>
    <xf numFmtId="0" fontId="5" fillId="0" borderId="0" xfId="0" applyFont="1" applyFill="1" applyBorder="1"/>
    <xf numFmtId="0" fontId="9" fillId="0" borderId="19" xfId="0" applyFont="1" applyFill="1" applyBorder="1" applyAlignment="1">
      <alignment horizontal="right" indent="1"/>
    </xf>
    <xf numFmtId="0" fontId="9" fillId="14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/>
    </xf>
    <xf numFmtId="0" fontId="51" fillId="0" borderId="0" xfId="0" applyFont="1" applyFill="1" applyBorder="1"/>
    <xf numFmtId="0" fontId="53" fillId="0" borderId="0" xfId="0" applyFont="1" applyFill="1" applyBorder="1"/>
    <xf numFmtId="0" fontId="50" fillId="0" borderId="0" xfId="0" applyFont="1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14" borderId="25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165" fontId="0" fillId="0" borderId="0" xfId="1" applyNumberFormat="1" applyFont="1" applyBorder="1" applyAlignment="1">
      <alignment horizontal="left"/>
    </xf>
    <xf numFmtId="165" fontId="0" fillId="0" borderId="14" xfId="1" applyNumberFormat="1" applyFont="1" applyBorder="1" applyAlignment="1">
      <alignment horizontal="left"/>
    </xf>
    <xf numFmtId="165" fontId="0" fillId="0" borderId="22" xfId="1" applyNumberFormat="1" applyFont="1" applyBorder="1" applyAlignment="1">
      <alignment horizontal="left"/>
    </xf>
    <xf numFmtId="165" fontId="0" fillId="0" borderId="24" xfId="1" applyNumberFormat="1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14" borderId="18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8" xfId="0" applyFont="1" applyBorder="1" applyAlignment="1">
      <alignment horizontal="right"/>
    </xf>
    <xf numFmtId="0" fontId="0" fillId="0" borderId="29" xfId="0" applyBorder="1" applyAlignment="1">
      <alignment horizontal="left"/>
    </xf>
    <xf numFmtId="0" fontId="9" fillId="0" borderId="29" xfId="0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9" fillId="0" borderId="21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1" xfId="0" applyFont="1" applyFill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5" fillId="14" borderId="31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right"/>
    </xf>
    <xf numFmtId="0" fontId="5" fillId="0" borderId="29" xfId="0" applyFont="1" applyBorder="1"/>
    <xf numFmtId="0" fontId="9" fillId="0" borderId="28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5" fillId="0" borderId="14" xfId="0" applyFont="1" applyBorder="1"/>
    <xf numFmtId="0" fontId="9" fillId="0" borderId="23" xfId="0" applyFont="1" applyFill="1" applyBorder="1" applyAlignment="1">
      <alignment horizontal="right"/>
    </xf>
    <xf numFmtId="0" fontId="0" fillId="0" borderId="22" xfId="0" applyFill="1" applyBorder="1"/>
    <xf numFmtId="0" fontId="5" fillId="0" borderId="29" xfId="0" applyFont="1" applyFill="1" applyBorder="1"/>
    <xf numFmtId="0" fontId="0" fillId="0" borderId="29" xfId="0" applyFill="1" applyBorder="1"/>
    <xf numFmtId="0" fontId="0" fillId="0" borderId="30" xfId="0" applyFill="1" applyBorder="1"/>
    <xf numFmtId="0" fontId="5" fillId="0" borderId="14" xfId="0" applyFont="1" applyFill="1" applyBorder="1"/>
    <xf numFmtId="0" fontId="0" fillId="0" borderId="14" xfId="0" applyFill="1" applyBorder="1"/>
    <xf numFmtId="0" fontId="0" fillId="0" borderId="24" xfId="0" applyFill="1" applyBorder="1"/>
    <xf numFmtId="0" fontId="5" fillId="9" borderId="4" xfId="0" applyFont="1" applyFill="1" applyBorder="1" applyAlignment="1"/>
    <xf numFmtId="0" fontId="3" fillId="15" borderId="2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6" fillId="3" borderId="0" xfId="0" applyFont="1" applyFill="1"/>
    <xf numFmtId="0" fontId="19" fillId="3" borderId="0" xfId="0" applyFont="1" applyFill="1" applyBorder="1" applyAlignment="1">
      <alignment horizontal="center"/>
    </xf>
    <xf numFmtId="164" fontId="3" fillId="4" borderId="0" xfId="1" applyFont="1" applyFill="1" applyAlignment="1">
      <alignment horizontal="center"/>
    </xf>
    <xf numFmtId="0" fontId="19" fillId="3" borderId="0" xfId="0" applyFont="1" applyFill="1"/>
    <xf numFmtId="0" fontId="54" fillId="16" borderId="17" xfId="0" applyFont="1" applyFill="1" applyBorder="1" applyAlignment="1">
      <alignment horizontal="center" vertical="center" wrapText="1"/>
    </xf>
    <xf numFmtId="0" fontId="54" fillId="16" borderId="3" xfId="0" applyFont="1" applyFill="1" applyBorder="1" applyAlignment="1">
      <alignment horizontal="center" vertical="center" wrapText="1"/>
    </xf>
    <xf numFmtId="0" fontId="54" fillId="16" borderId="3" xfId="0" applyFont="1" applyFill="1" applyBorder="1" applyAlignment="1">
      <alignment horizontal="right" vertical="center" wrapText="1"/>
    </xf>
    <xf numFmtId="0" fontId="54" fillId="16" borderId="8" xfId="0" applyFont="1" applyFill="1" applyBorder="1" applyAlignment="1">
      <alignment horizontal="center" vertical="center" wrapText="1"/>
    </xf>
    <xf numFmtId="0" fontId="54" fillId="16" borderId="3" xfId="0" applyFont="1" applyFill="1" applyBorder="1" applyAlignment="1">
      <alignment horizontal="center"/>
    </xf>
    <xf numFmtId="0" fontId="54" fillId="16" borderId="8" xfId="0" applyFont="1" applyFill="1" applyBorder="1" applyAlignment="1">
      <alignment horizontal="center"/>
    </xf>
    <xf numFmtId="0" fontId="54" fillId="16" borderId="17" xfId="0" applyFont="1" applyFill="1" applyBorder="1" applyAlignment="1">
      <alignment horizontal="center"/>
    </xf>
    <xf numFmtId="0" fontId="51" fillId="3" borderId="19" xfId="0" applyFont="1" applyFill="1" applyBorder="1"/>
    <xf numFmtId="0" fontId="3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1" fillId="3" borderId="1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9" fillId="17" borderId="0" xfId="0" applyFont="1" applyFill="1"/>
    <xf numFmtId="0" fontId="0" fillId="17" borderId="0" xfId="0" applyFill="1"/>
    <xf numFmtId="0" fontId="5" fillId="17" borderId="0" xfId="0" applyFont="1" applyFill="1"/>
    <xf numFmtId="0" fontId="20" fillId="3" borderId="0" xfId="0" applyFont="1" applyFill="1"/>
    <xf numFmtId="0" fontId="21" fillId="3" borderId="0" xfId="0" applyFont="1" applyFill="1"/>
    <xf numFmtId="0" fontId="0" fillId="0" borderId="0" xfId="0" applyAlignment="1">
      <alignment vertical="center"/>
    </xf>
    <xf numFmtId="0" fontId="16" fillId="3" borderId="0" xfId="0" applyFont="1" applyFill="1"/>
    <xf numFmtId="0" fontId="9" fillId="3" borderId="0" xfId="0" applyFont="1" applyFill="1"/>
    <xf numFmtId="0" fontId="4" fillId="17" borderId="0" xfId="2" applyFill="1" applyAlignment="1" applyProtection="1"/>
    <xf numFmtId="0" fontId="17" fillId="0" borderId="0" xfId="0" applyFont="1"/>
    <xf numFmtId="0" fontId="17" fillId="0" borderId="0" xfId="0" applyFont="1" applyAlignment="1">
      <alignment horizontal="left"/>
    </xf>
    <xf numFmtId="0" fontId="24" fillId="0" borderId="0" xfId="0" applyFont="1"/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3" borderId="0" xfId="0" applyFont="1" applyFill="1" applyAlignment="1">
      <alignment horizontal="right"/>
    </xf>
    <xf numFmtId="0" fontId="23" fillId="3" borderId="0" xfId="0" applyFont="1" applyFill="1" applyAlignment="1">
      <alignment horizontal="right"/>
    </xf>
    <xf numFmtId="0" fontId="22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top"/>
    </xf>
    <xf numFmtId="16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6" fillId="16" borderId="3" xfId="0" applyFont="1" applyFill="1" applyBorder="1" applyAlignment="1">
      <alignment horizontal="left" vertical="center"/>
    </xf>
    <xf numFmtId="0" fontId="46" fillId="16" borderId="3" xfId="0" applyFont="1" applyFill="1" applyBorder="1" applyAlignment="1">
      <alignment horizontal="left"/>
    </xf>
    <xf numFmtId="0" fontId="9" fillId="0" borderId="0" xfId="0" applyFont="1"/>
    <xf numFmtId="0" fontId="9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56" fillId="3" borderId="19" xfId="0" applyFont="1" applyFill="1" applyBorder="1" applyAlignment="1">
      <alignment horizontal="right" indent="1"/>
    </xf>
    <xf numFmtId="0" fontId="57" fillId="3" borderId="19" xfId="0" applyFont="1" applyFill="1" applyBorder="1"/>
    <xf numFmtId="0" fontId="58" fillId="3" borderId="19" xfId="0" applyFont="1" applyFill="1" applyBorder="1"/>
    <xf numFmtId="0" fontId="2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9" fillId="14" borderId="0" xfId="0" applyFont="1" applyFill="1"/>
    <xf numFmtId="0" fontId="9" fillId="0" borderId="22" xfId="0" applyFont="1" applyBorder="1"/>
    <xf numFmtId="0" fontId="27" fillId="3" borderId="0" xfId="0" applyFont="1" applyFill="1"/>
    <xf numFmtId="0" fontId="31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10" borderId="3" xfId="0" applyFont="1" applyFill="1" applyBorder="1" applyAlignment="1">
      <alignment horizontal="right" indent="1"/>
    </xf>
    <xf numFmtId="0" fontId="14" fillId="3" borderId="22" xfId="0" applyFont="1" applyFill="1" applyBorder="1" applyAlignment="1"/>
    <xf numFmtId="0" fontId="9" fillId="3" borderId="22" xfId="0" applyFont="1" applyFill="1" applyBorder="1" applyAlignment="1">
      <alignment horizontal="right"/>
    </xf>
    <xf numFmtId="0" fontId="5" fillId="3" borderId="22" xfId="0" applyFont="1" applyFill="1" applyBorder="1"/>
    <xf numFmtId="0" fontId="13" fillId="3" borderId="22" xfId="0" applyFont="1" applyFill="1" applyBorder="1" applyAlignment="1"/>
    <xf numFmtId="0" fontId="9" fillId="3" borderId="32" xfId="0" applyFont="1" applyFill="1" applyBorder="1" applyAlignment="1">
      <alignment horizontal="right" indent="1"/>
    </xf>
    <xf numFmtId="0" fontId="5" fillId="3" borderId="32" xfId="0" applyFont="1" applyFill="1" applyBorder="1"/>
    <xf numFmtId="0" fontId="13" fillId="3" borderId="32" xfId="0" applyFont="1" applyFill="1" applyBorder="1" applyAlignment="1"/>
    <xf numFmtId="0" fontId="9" fillId="3" borderId="32" xfId="0" applyFont="1" applyFill="1" applyBorder="1" applyAlignment="1">
      <alignment horizontal="right"/>
    </xf>
    <xf numFmtId="0" fontId="50" fillId="3" borderId="32" xfId="0" applyFont="1" applyFill="1" applyBorder="1" applyAlignment="1">
      <alignment horizontal="right"/>
    </xf>
    <xf numFmtId="0" fontId="9" fillId="4" borderId="32" xfId="0" applyFont="1" applyFill="1" applyBorder="1" applyAlignment="1">
      <alignment horizontal="right" indent="1"/>
    </xf>
    <xf numFmtId="0" fontId="9" fillId="4" borderId="22" xfId="0" applyFont="1" applyFill="1" applyBorder="1" applyAlignment="1">
      <alignment horizontal="right" indent="1"/>
    </xf>
    <xf numFmtId="0" fontId="50" fillId="3" borderId="32" xfId="0" applyFont="1" applyFill="1" applyBorder="1" applyAlignment="1">
      <alignment horizontal="right" indent="1"/>
    </xf>
    <xf numFmtId="0" fontId="5" fillId="3" borderId="24" xfId="0" applyFont="1" applyFill="1" applyBorder="1"/>
    <xf numFmtId="0" fontId="5" fillId="3" borderId="27" xfId="0" applyFont="1" applyFill="1" applyBorder="1"/>
    <xf numFmtId="0" fontId="9" fillId="0" borderId="32" xfId="0" applyFont="1" applyFill="1" applyBorder="1" applyAlignment="1">
      <alignment horizontal="right" indent="1"/>
    </xf>
    <xf numFmtId="0" fontId="9" fillId="12" borderId="32" xfId="0" applyFont="1" applyFill="1" applyBorder="1" applyAlignment="1">
      <alignment horizontal="right" indent="1"/>
    </xf>
    <xf numFmtId="0" fontId="46" fillId="8" borderId="2" xfId="0" applyFont="1" applyFill="1" applyBorder="1" applyAlignment="1">
      <alignment horizontal="center" vertical="center"/>
    </xf>
    <xf numFmtId="0" fontId="0" fillId="0" borderId="0" xfId="0" applyFill="1"/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7" fillId="0" borderId="0" xfId="0" applyFont="1"/>
    <xf numFmtId="0" fontId="5" fillId="9" borderId="0" xfId="0" applyFont="1" applyFill="1" applyBorder="1" applyAlignment="1">
      <alignment horizontal="left"/>
    </xf>
    <xf numFmtId="0" fontId="35" fillId="3" borderId="0" xfId="0" applyFont="1" applyFill="1" applyAlignment="1"/>
    <xf numFmtId="0" fontId="35" fillId="0" borderId="0" xfId="0" applyFont="1" applyAlignment="1"/>
    <xf numFmtId="0" fontId="36" fillId="0" borderId="0" xfId="0" applyFont="1" applyAlignment="1"/>
    <xf numFmtId="0" fontId="35" fillId="9" borderId="7" xfId="0" applyFont="1" applyFill="1" applyBorder="1" applyAlignment="1"/>
    <xf numFmtId="0" fontId="38" fillId="0" borderId="2" xfId="0" applyFont="1" applyFill="1" applyBorder="1" applyAlignment="1">
      <alignment horizontal="center"/>
    </xf>
    <xf numFmtId="0" fontId="39" fillId="0" borderId="0" xfId="0" applyFont="1" applyFill="1"/>
    <xf numFmtId="0" fontId="38" fillId="0" borderId="6" xfId="0" applyFont="1" applyFill="1" applyBorder="1" applyAlignment="1">
      <alignment horizontal="center"/>
    </xf>
    <xf numFmtId="0" fontId="40" fillId="0" borderId="0" xfId="0" applyFont="1"/>
    <xf numFmtId="0" fontId="41" fillId="9" borderId="7" xfId="0" applyFont="1" applyFill="1" applyBorder="1" applyAlignment="1"/>
    <xf numFmtId="0" fontId="42" fillId="3" borderId="7" xfId="0" applyFont="1" applyFill="1" applyBorder="1" applyAlignment="1"/>
    <xf numFmtId="0" fontId="40" fillId="0" borderId="0" xfId="0" applyFont="1" applyAlignment="1"/>
    <xf numFmtId="0" fontId="43" fillId="0" borderId="2" xfId="0" applyFont="1" applyFill="1" applyBorder="1" applyAlignment="1">
      <alignment horizontal="right"/>
    </xf>
    <xf numFmtId="0" fontId="43" fillId="0" borderId="6" xfId="0" applyFont="1" applyFill="1" applyBorder="1" applyAlignment="1">
      <alignment horizontal="right"/>
    </xf>
    <xf numFmtId="0" fontId="43" fillId="0" borderId="2" xfId="0" applyFont="1" applyFill="1" applyBorder="1" applyAlignment="1">
      <alignment horizontal="center"/>
    </xf>
    <xf numFmtId="0" fontId="9" fillId="14" borderId="0" xfId="0" applyFont="1" applyFill="1" applyAlignment="1">
      <alignment horizontal="left"/>
    </xf>
    <xf numFmtId="0" fontId="38" fillId="3" borderId="0" xfId="0" applyFont="1" applyFill="1"/>
    <xf numFmtId="0" fontId="9" fillId="0" borderId="28" xfId="0" applyFont="1" applyFill="1" applyBorder="1"/>
    <xf numFmtId="0" fontId="9" fillId="14" borderId="29" xfId="0" applyFont="1" applyFill="1" applyBorder="1" applyAlignment="1">
      <alignment horizontal="right"/>
    </xf>
    <xf numFmtId="0" fontId="5" fillId="0" borderId="30" xfId="0" applyFont="1" applyFill="1" applyBorder="1"/>
    <xf numFmtId="0" fontId="9" fillId="14" borderId="21" xfId="0" applyFont="1" applyFill="1" applyBorder="1" applyAlignment="1">
      <alignment horizontal="right"/>
    </xf>
    <xf numFmtId="0" fontId="5" fillId="0" borderId="22" xfId="0" applyFont="1" applyFill="1" applyBorder="1"/>
    <xf numFmtId="0" fontId="9" fillId="14" borderId="23" xfId="0" applyFont="1" applyFill="1" applyBorder="1" applyAlignment="1">
      <alignment horizontal="right"/>
    </xf>
    <xf numFmtId="0" fontId="5" fillId="0" borderId="24" xfId="0" applyFont="1" applyFill="1" applyBorder="1"/>
    <xf numFmtId="0" fontId="12" fillId="0" borderId="28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vertical="center"/>
    </xf>
    <xf numFmtId="0" fontId="12" fillId="0" borderId="21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2" fillId="0" borderId="18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46" fillId="8" borderId="2" xfId="0" applyFont="1" applyFill="1" applyBorder="1" applyAlignment="1">
      <alignment horizontal="center" vertical="center"/>
    </xf>
    <xf numFmtId="0" fontId="46" fillId="8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12" fillId="0" borderId="29" xfId="0" applyFont="1" applyFill="1" applyBorder="1" applyAlignment="1">
      <alignment horizontal="center" vertical="center"/>
    </xf>
    <xf numFmtId="0" fontId="0" fillId="14" borderId="15" xfId="0" applyFill="1" applyBorder="1" applyAlignment="1">
      <alignment horizontal="left" vertical="top" wrapText="1"/>
    </xf>
    <xf numFmtId="0" fontId="0" fillId="14" borderId="16" xfId="0" applyFill="1" applyBorder="1" applyAlignment="1">
      <alignment horizontal="left" vertical="top" wrapText="1"/>
    </xf>
    <xf numFmtId="0" fontId="0" fillId="14" borderId="6" xfId="0" applyFill="1" applyBorder="1" applyAlignment="1">
      <alignment horizontal="left" vertical="top" wrapText="1"/>
    </xf>
    <xf numFmtId="0" fontId="0" fillId="14" borderId="11" xfId="0" applyFill="1" applyBorder="1" applyAlignment="1">
      <alignment horizontal="left" vertical="top" wrapText="1"/>
    </xf>
    <xf numFmtId="0" fontId="0" fillId="14" borderId="0" xfId="0" applyFill="1" applyBorder="1" applyAlignment="1">
      <alignment horizontal="left" vertical="top" wrapText="1"/>
    </xf>
    <xf numFmtId="0" fontId="0" fillId="14" borderId="7" xfId="0" applyFill="1" applyBorder="1" applyAlignment="1">
      <alignment horizontal="left" vertical="top" wrapText="1"/>
    </xf>
    <xf numFmtId="0" fontId="0" fillId="14" borderId="12" xfId="0" applyFill="1" applyBorder="1" applyAlignment="1">
      <alignment horizontal="left" vertical="top" wrapText="1"/>
    </xf>
    <xf numFmtId="0" fontId="0" fillId="14" borderId="10" xfId="0" applyFill="1" applyBorder="1" applyAlignment="1">
      <alignment horizontal="left" vertical="top" wrapText="1"/>
    </xf>
    <xf numFmtId="0" fontId="0" fillId="14" borderId="5" xfId="0" applyFill="1" applyBorder="1" applyAlignment="1">
      <alignment horizontal="left" vertical="top" wrapText="1"/>
    </xf>
    <xf numFmtId="0" fontId="38" fillId="4" borderId="15" xfId="0" applyFont="1" applyFill="1" applyBorder="1" applyAlignment="1">
      <alignment horizontal="left" vertical="top" wrapText="1"/>
    </xf>
    <xf numFmtId="0" fontId="38" fillId="4" borderId="16" xfId="0" applyFont="1" applyFill="1" applyBorder="1" applyAlignment="1">
      <alignment horizontal="left" vertical="top" wrapText="1"/>
    </xf>
    <xf numFmtId="0" fontId="38" fillId="4" borderId="6" xfId="0" applyFont="1" applyFill="1" applyBorder="1" applyAlignment="1">
      <alignment horizontal="left" vertical="top" wrapText="1"/>
    </xf>
    <xf numFmtId="0" fontId="38" fillId="4" borderId="11" xfId="0" applyFont="1" applyFill="1" applyBorder="1" applyAlignment="1">
      <alignment horizontal="left" vertical="top" wrapText="1"/>
    </xf>
    <xf numFmtId="0" fontId="38" fillId="4" borderId="0" xfId="0" applyFont="1" applyFill="1" applyBorder="1" applyAlignment="1">
      <alignment horizontal="left" vertical="top" wrapText="1"/>
    </xf>
    <xf numFmtId="0" fontId="38" fillId="4" borderId="7" xfId="0" applyFont="1" applyFill="1" applyBorder="1" applyAlignment="1">
      <alignment horizontal="left" vertical="top" wrapText="1"/>
    </xf>
    <xf numFmtId="0" fontId="38" fillId="4" borderId="12" xfId="0" applyFont="1" applyFill="1" applyBorder="1" applyAlignment="1">
      <alignment horizontal="left" vertical="top" wrapText="1"/>
    </xf>
    <xf numFmtId="0" fontId="38" fillId="4" borderId="10" xfId="0" applyFont="1" applyFill="1" applyBorder="1" applyAlignment="1">
      <alignment horizontal="left" vertical="top" wrapText="1"/>
    </xf>
    <xf numFmtId="0" fontId="38" fillId="4" borderId="5" xfId="0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44" fillId="0" borderId="17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54" fillId="16" borderId="17" xfId="0" applyFont="1" applyFill="1" applyBorder="1" applyAlignment="1">
      <alignment horizontal="center"/>
    </xf>
    <xf numFmtId="0" fontId="54" fillId="16" borderId="8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4" fillId="16" borderId="3" xfId="0" applyFont="1" applyFill="1" applyBorder="1" applyAlignment="1">
      <alignment horizontal="center"/>
    </xf>
    <xf numFmtId="0" fontId="55" fillId="18" borderId="7" xfId="0" applyFont="1" applyFill="1" applyBorder="1" applyAlignment="1">
      <alignment horizontal="center" vertical="center"/>
    </xf>
    <xf numFmtId="0" fontId="55" fillId="18" borderId="5" xfId="0" applyFont="1" applyFill="1" applyBorder="1" applyAlignment="1">
      <alignment horizontal="center" vertical="center"/>
    </xf>
    <xf numFmtId="0" fontId="59" fillId="0" borderId="20" xfId="0" applyFont="1" applyBorder="1"/>
    <xf numFmtId="0" fontId="60" fillId="0" borderId="20" xfId="0" applyFont="1" applyBorder="1"/>
  </cellXfs>
  <cellStyles count="3">
    <cellStyle name="Comma" xfId="1" builtinId="3"/>
    <cellStyle name="Hyperlink" xfId="2" builtinId="8"/>
    <cellStyle name="Normal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29</xdr:row>
      <xdr:rowOff>123828</xdr:rowOff>
    </xdr:from>
    <xdr:to>
      <xdr:col>10</xdr:col>
      <xdr:colOff>95251</xdr:colOff>
      <xdr:row>45</xdr:row>
      <xdr:rowOff>104778</xdr:rowOff>
    </xdr:to>
    <xdr:sp macro="" textlink="">
      <xdr:nvSpPr>
        <xdr:cNvPr id="15485" name="WordArt 125"/>
        <xdr:cNvSpPr>
          <a:spLocks noChangeArrowheads="1" noChangeShapeType="1" noTextEdit="1"/>
        </xdr:cNvSpPr>
      </xdr:nvSpPr>
      <xdr:spPr bwMode="auto">
        <a:xfrm rot="16200000">
          <a:off x="3143251" y="5686427"/>
          <a:ext cx="2990850" cy="3105151"/>
        </a:xfrm>
        <a:prstGeom prst="rect">
          <a:avLst/>
        </a:prstGeom>
      </xdr:spPr>
      <xdr:txBody>
        <a:bodyPr wrap="none" fromWordArt="1">
          <a:prstTxWarp prst="textCirclePour">
            <a:avLst>
              <a:gd name="adj1" fmla="val 10860205"/>
              <a:gd name="adj2" fmla="val 50000"/>
            </a:avLst>
          </a:prstTxWarp>
        </a:bodyPr>
        <a:lstStyle/>
        <a:p>
          <a:pPr algn="dist" rtl="0"/>
          <a:r>
            <a:rPr lang="en-GB" sz="4800" b="0" i="0" u="sng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Larafon"/>
            </a:rPr>
            <a:t> &lt;Resnon se vestepen helaramin&gt; </a:t>
          </a:r>
        </a:p>
      </xdr:txBody>
    </xdr:sp>
    <xdr:clientData/>
  </xdr:twoCellAnchor>
  <xdr:twoCellAnchor>
    <xdr:from>
      <xdr:col>6</xdr:col>
      <xdr:colOff>266700</xdr:colOff>
      <xdr:row>32</xdr:row>
      <xdr:rowOff>114300</xdr:rowOff>
    </xdr:from>
    <xdr:to>
      <xdr:col>8</xdr:col>
      <xdr:colOff>466725</xdr:colOff>
      <xdr:row>40</xdr:row>
      <xdr:rowOff>133350</xdr:rowOff>
    </xdr:to>
    <xdr:pic>
      <xdr:nvPicPr>
        <xdr:cNvPr id="15691" name="Picture 12" descr="10-12-10 - Laram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0" y="653415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287</xdr:row>
      <xdr:rowOff>9525</xdr:rowOff>
    </xdr:from>
    <xdr:to>
      <xdr:col>2</xdr:col>
      <xdr:colOff>866775</xdr:colOff>
      <xdr:row>288</xdr:row>
      <xdr:rowOff>9525</xdr:rowOff>
    </xdr:to>
    <xdr:grpSp>
      <xdr:nvGrpSpPr>
        <xdr:cNvPr id="25370" name="Group 3"/>
        <xdr:cNvGrpSpPr>
          <a:grpSpLocks/>
        </xdr:cNvGrpSpPr>
      </xdr:nvGrpSpPr>
      <xdr:grpSpPr bwMode="auto">
        <a:xfrm>
          <a:off x="1800225" y="47939325"/>
          <a:ext cx="257175" cy="228600"/>
          <a:chOff x="338817" y="36276643"/>
          <a:chExt cx="202746" cy="195943"/>
        </a:xfrm>
      </xdr:grpSpPr>
      <xdr:sp macro="" textlink="">
        <xdr:nvSpPr>
          <xdr:cNvPr id="2" name="Oval 1"/>
          <xdr:cNvSpPr/>
        </xdr:nvSpPr>
        <xdr:spPr>
          <a:xfrm>
            <a:off x="338817" y="36276643"/>
            <a:ext cx="202746" cy="195943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GB"/>
          </a:p>
        </xdr:txBody>
      </xdr:sp>
      <xdr:sp macro="" textlink="">
        <xdr:nvSpPr>
          <xdr:cNvPr id="3" name="Oval 2"/>
          <xdr:cNvSpPr/>
        </xdr:nvSpPr>
        <xdr:spPr>
          <a:xfrm>
            <a:off x="406399" y="36341957"/>
            <a:ext cx="67582" cy="65314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GB"/>
          </a:p>
        </xdr:txBody>
      </xdr:sp>
    </xdr:grpSp>
    <xdr:clientData/>
  </xdr:twoCellAnchor>
  <xdr:twoCellAnchor>
    <xdr:from>
      <xdr:col>2</xdr:col>
      <xdr:colOff>609600</xdr:colOff>
      <xdr:row>265</xdr:row>
      <xdr:rowOff>133350</xdr:rowOff>
    </xdr:from>
    <xdr:to>
      <xdr:col>2</xdr:col>
      <xdr:colOff>857250</xdr:colOff>
      <xdr:row>266</xdr:row>
      <xdr:rowOff>219075</xdr:rowOff>
    </xdr:to>
    <xdr:grpSp>
      <xdr:nvGrpSpPr>
        <xdr:cNvPr id="25371" name="Group 7"/>
        <xdr:cNvGrpSpPr>
          <a:grpSpLocks/>
        </xdr:cNvGrpSpPr>
      </xdr:nvGrpSpPr>
      <xdr:grpSpPr bwMode="auto">
        <a:xfrm>
          <a:off x="1800225" y="44453175"/>
          <a:ext cx="247650" cy="247650"/>
          <a:chOff x="320335" y="34029537"/>
          <a:chExt cx="215786" cy="185058"/>
        </a:xfrm>
      </xdr:grpSpPr>
      <xdr:sp macro="" textlink="">
        <xdr:nvSpPr>
          <xdr:cNvPr id="5" name="Right Arrow 4"/>
          <xdr:cNvSpPr/>
        </xdr:nvSpPr>
        <xdr:spPr>
          <a:xfrm>
            <a:off x="328634" y="34036655"/>
            <a:ext cx="207487" cy="156588"/>
          </a:xfrm>
          <a:prstGeom prst="rightArrow">
            <a:avLst>
              <a:gd name="adj1" fmla="val 0"/>
              <a:gd name="adj2" fmla="val 50000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GB"/>
          </a:p>
        </xdr:txBody>
      </xdr:sp>
      <xdr:cxnSp macro="">
        <xdr:nvCxnSpPr>
          <xdr:cNvPr id="7" name="Straight Connector 6"/>
          <xdr:cNvCxnSpPr/>
        </xdr:nvCxnSpPr>
        <xdr:spPr>
          <a:xfrm rot="5400000">
            <a:off x="227806" y="34122066"/>
            <a:ext cx="185058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895350</xdr:colOff>
      <xdr:row>245</xdr:row>
      <xdr:rowOff>29068</xdr:rowOff>
    </xdr:from>
    <xdr:to>
      <xdr:col>3</xdr:col>
      <xdr:colOff>232115</xdr:colOff>
      <xdr:row>245</xdr:row>
      <xdr:rowOff>190500</xdr:rowOff>
    </xdr:to>
    <xdr:sp macro="" textlink="">
      <xdr:nvSpPr>
        <xdr:cNvPr id="10" name="Right Arrow 9"/>
        <xdr:cNvSpPr/>
      </xdr:nvSpPr>
      <xdr:spPr>
        <a:xfrm>
          <a:off x="2085975" y="40938943"/>
          <a:ext cx="289265" cy="161432"/>
        </a:xfrm>
        <a:prstGeom prst="rightArrow">
          <a:avLst>
            <a:gd name="adj1" fmla="val 0"/>
            <a:gd name="adj2" fmla="val 5000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2</xdr:col>
      <xdr:colOff>114300</xdr:colOff>
      <xdr:row>300</xdr:row>
      <xdr:rowOff>66675</xdr:rowOff>
    </xdr:from>
    <xdr:to>
      <xdr:col>2</xdr:col>
      <xdr:colOff>180975</xdr:colOff>
      <xdr:row>301</xdr:row>
      <xdr:rowOff>19050</xdr:rowOff>
    </xdr:to>
    <xdr:grpSp>
      <xdr:nvGrpSpPr>
        <xdr:cNvPr id="25373" name="Group 18"/>
        <xdr:cNvGrpSpPr>
          <a:grpSpLocks/>
        </xdr:cNvGrpSpPr>
      </xdr:nvGrpSpPr>
      <xdr:grpSpPr bwMode="auto">
        <a:xfrm>
          <a:off x="1304925" y="50168175"/>
          <a:ext cx="66675" cy="180975"/>
          <a:chOff x="457200" y="38261925"/>
          <a:chExt cx="68243" cy="183698"/>
        </a:xfrm>
      </xdr:grpSpPr>
      <xdr:cxnSp macro="">
        <xdr:nvCxnSpPr>
          <xdr:cNvPr id="17" name="Straight Connector 16"/>
          <xdr:cNvCxnSpPr/>
        </xdr:nvCxnSpPr>
        <xdr:spPr>
          <a:xfrm rot="5400000">
            <a:off x="365350" y="38353775"/>
            <a:ext cx="183698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rot="5400000">
            <a:off x="433593" y="38353775"/>
            <a:ext cx="183698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561975</xdr:colOff>
      <xdr:row>254</xdr:row>
      <xdr:rowOff>28575</xdr:rowOff>
    </xdr:from>
    <xdr:to>
      <xdr:col>2</xdr:col>
      <xdr:colOff>866775</xdr:colOff>
      <xdr:row>255</xdr:row>
      <xdr:rowOff>19050</xdr:rowOff>
    </xdr:to>
    <xdr:grpSp>
      <xdr:nvGrpSpPr>
        <xdr:cNvPr id="25374" name="Group 24"/>
        <xdr:cNvGrpSpPr>
          <a:grpSpLocks/>
        </xdr:cNvGrpSpPr>
      </xdr:nvGrpSpPr>
      <xdr:grpSpPr bwMode="auto">
        <a:xfrm>
          <a:off x="1752600" y="42481500"/>
          <a:ext cx="304800" cy="219075"/>
          <a:chOff x="249621" y="34537751"/>
          <a:chExt cx="267015" cy="183274"/>
        </a:xfrm>
      </xdr:grpSpPr>
      <xdr:sp macro="" textlink="">
        <xdr:nvSpPr>
          <xdr:cNvPr id="23" name="Right Arrow 22"/>
          <xdr:cNvSpPr/>
        </xdr:nvSpPr>
        <xdr:spPr bwMode="auto">
          <a:xfrm>
            <a:off x="249621" y="34569625"/>
            <a:ext cx="267015" cy="127495"/>
          </a:xfrm>
          <a:prstGeom prst="rightArrow">
            <a:avLst>
              <a:gd name="adj1" fmla="val 0"/>
              <a:gd name="adj2" fmla="val 50000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GB"/>
          </a:p>
        </xdr:txBody>
      </xdr:sp>
      <xdr:cxnSp macro="">
        <xdr:nvCxnSpPr>
          <xdr:cNvPr id="24" name="Straight Connector 23"/>
          <xdr:cNvCxnSpPr/>
        </xdr:nvCxnSpPr>
        <xdr:spPr bwMode="auto">
          <a:xfrm rot="5400000">
            <a:off x="274803" y="34629388"/>
            <a:ext cx="183274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0</xdr:rowOff>
    </xdr:from>
    <xdr:to>
      <xdr:col>15</xdr:col>
      <xdr:colOff>457200</xdr:colOff>
      <xdr:row>18</xdr:row>
      <xdr:rowOff>28575</xdr:rowOff>
    </xdr:to>
    <xdr:pic>
      <xdr:nvPicPr>
        <xdr:cNvPr id="17705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238125"/>
          <a:ext cx="4076700" cy="402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18</xdr:row>
      <xdr:rowOff>228600</xdr:rowOff>
    </xdr:from>
    <xdr:to>
      <xdr:col>14</xdr:col>
      <xdr:colOff>600075</xdr:colOff>
      <xdr:row>30</xdr:row>
      <xdr:rowOff>85725</xdr:rowOff>
    </xdr:to>
    <xdr:pic>
      <xdr:nvPicPr>
        <xdr:cNvPr id="17706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0200" y="4467225"/>
          <a:ext cx="3590925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22</xdr:row>
      <xdr:rowOff>28575</xdr:rowOff>
    </xdr:from>
    <xdr:to>
      <xdr:col>8</xdr:col>
      <xdr:colOff>9525</xdr:colOff>
      <xdr:row>33</xdr:row>
      <xdr:rowOff>9525</xdr:rowOff>
    </xdr:to>
    <xdr:grpSp>
      <xdr:nvGrpSpPr>
        <xdr:cNvPr id="27751" name="Group 25"/>
        <xdr:cNvGrpSpPr>
          <a:grpSpLocks/>
        </xdr:cNvGrpSpPr>
      </xdr:nvGrpSpPr>
      <xdr:grpSpPr bwMode="auto">
        <a:xfrm>
          <a:off x="3171825" y="4419600"/>
          <a:ext cx="3800475" cy="1762125"/>
          <a:chOff x="6991350" y="3038475"/>
          <a:chExt cx="2981324" cy="1609725"/>
        </a:xfrm>
      </xdr:grpSpPr>
      <xdr:sp macro="" textlink="">
        <xdr:nvSpPr>
          <xdr:cNvPr id="2" name="Rounded Rectangle 1"/>
          <xdr:cNvSpPr/>
        </xdr:nvSpPr>
        <xdr:spPr>
          <a:xfrm>
            <a:off x="9068563" y="3908597"/>
            <a:ext cx="859279" cy="461164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Patient</a:t>
            </a:r>
            <a:br>
              <a:rPr lang="en-US" sz="1100" b="1"/>
            </a:br>
            <a:r>
              <a:rPr lang="en-US" sz="1100" b="1"/>
              <a:t>(</a:t>
            </a:r>
            <a:r>
              <a:rPr lang="en-US" sz="1100" b="0"/>
              <a:t>datif</a:t>
            </a:r>
            <a:r>
              <a:rPr lang="en-US" sz="1100" b="1"/>
              <a:t>)</a:t>
            </a:r>
          </a:p>
        </xdr:txBody>
      </xdr:sp>
      <xdr:sp macro="" textlink="">
        <xdr:nvSpPr>
          <xdr:cNvPr id="3" name="Rounded Rectangle 2"/>
          <xdr:cNvSpPr/>
        </xdr:nvSpPr>
        <xdr:spPr>
          <a:xfrm>
            <a:off x="7170678" y="3943401"/>
            <a:ext cx="874223" cy="417658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Agent</a:t>
            </a:r>
            <a:br>
              <a:rPr lang="en-US" sz="1100" b="1"/>
            </a:br>
            <a:r>
              <a:rPr lang="en-US" sz="1100" b="1"/>
              <a:t>(</a:t>
            </a:r>
            <a:r>
              <a:rPr lang="en-US" sz="1100" b="0"/>
              <a:t>nominatif</a:t>
            </a:r>
            <a:r>
              <a:rPr lang="en-US" sz="1100" b="1"/>
              <a:t>)</a:t>
            </a:r>
          </a:p>
        </xdr:txBody>
      </xdr:sp>
      <xdr:cxnSp macro="">
        <xdr:nvCxnSpPr>
          <xdr:cNvPr id="6" name="Curved Connector 5"/>
          <xdr:cNvCxnSpPr/>
        </xdr:nvCxnSpPr>
        <xdr:spPr>
          <a:xfrm rot="10800000" flipV="1">
            <a:off x="7342534" y="3551847"/>
            <a:ext cx="2592781" cy="8701"/>
          </a:xfrm>
          <a:prstGeom prst="curvedConnector3">
            <a:avLst>
              <a:gd name="adj1" fmla="val 50000"/>
            </a:avLst>
          </a:prstGeom>
          <a:ln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urved Connector 6"/>
          <xdr:cNvCxnSpPr/>
        </xdr:nvCxnSpPr>
        <xdr:spPr>
          <a:xfrm flipV="1">
            <a:off x="7342534" y="3725871"/>
            <a:ext cx="2622668" cy="17402"/>
          </a:xfrm>
          <a:prstGeom prst="curvedConnector3">
            <a:avLst>
              <a:gd name="adj1" fmla="val 50000"/>
            </a:avLst>
          </a:prstGeom>
          <a:ln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Oval 11"/>
          <xdr:cNvSpPr/>
        </xdr:nvSpPr>
        <xdr:spPr>
          <a:xfrm>
            <a:off x="7686245" y="3134188"/>
            <a:ext cx="1703614" cy="783109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Action</a:t>
            </a:r>
            <a:r>
              <a:rPr lang="en-US" sz="1100"/>
              <a:t/>
            </a:r>
            <a:br>
              <a:rPr lang="en-US" sz="1100"/>
            </a:br>
            <a:r>
              <a:rPr lang="en-US" sz="1100"/>
              <a:t>Prendre/Recevoir</a:t>
            </a:r>
            <a:br>
              <a:rPr lang="en-US" sz="1100"/>
            </a:br>
            <a:r>
              <a:rPr lang="en-US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Donner/Céder</a:t>
            </a:r>
            <a:endParaRPr lang="en-US" sz="1100"/>
          </a:p>
        </xdr:txBody>
      </xdr:sp>
      <xdr:sp macro="" textlink="">
        <xdr:nvSpPr>
          <xdr:cNvPr id="18" name="Oval 17"/>
          <xdr:cNvSpPr/>
        </xdr:nvSpPr>
        <xdr:spPr>
          <a:xfrm>
            <a:off x="8904179" y="3055877"/>
            <a:ext cx="1068495" cy="426360"/>
          </a:xfrm>
          <a:prstGeom prst="ellipse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Manière</a:t>
            </a:r>
            <a:br>
              <a:rPr lang="en-US" sz="1100" b="1"/>
            </a:br>
            <a:r>
              <a:rPr lang="en-US" sz="1100" b="1"/>
              <a:t>(</a:t>
            </a:r>
            <a:r>
              <a:rPr lang="en-US" sz="1100" b="0"/>
              <a:t>adverbe</a:t>
            </a:r>
            <a:r>
              <a:rPr lang="en-US" sz="1100" b="1"/>
              <a:t>)</a:t>
            </a:r>
            <a:endParaRPr lang="en-US" sz="1100"/>
          </a:p>
        </xdr:txBody>
      </xdr:sp>
      <xdr:sp macro="" textlink="">
        <xdr:nvSpPr>
          <xdr:cNvPr id="19" name="Rounded Rectangle 18"/>
          <xdr:cNvSpPr/>
        </xdr:nvSpPr>
        <xdr:spPr>
          <a:xfrm>
            <a:off x="7193094" y="4439371"/>
            <a:ext cx="2772108" cy="208829"/>
          </a:xfrm>
          <a:prstGeom prst="round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Qualité (</a:t>
            </a:r>
            <a:r>
              <a:rPr lang="en-US" sz="1100" b="0"/>
              <a:t>adjectif</a:t>
            </a:r>
            <a:r>
              <a:rPr lang="en-US" sz="1100" b="1"/>
              <a:t>)</a:t>
            </a:r>
          </a:p>
        </xdr:txBody>
      </xdr:sp>
      <xdr:sp macro="" textlink="">
        <xdr:nvSpPr>
          <xdr:cNvPr id="4" name="Rounded Rectangle 3"/>
          <xdr:cNvSpPr/>
        </xdr:nvSpPr>
        <xdr:spPr>
          <a:xfrm>
            <a:off x="8127092" y="3830286"/>
            <a:ext cx="866751" cy="39155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Objet</a:t>
            </a:r>
            <a:br>
              <a:rPr lang="en-US" sz="1100" b="1"/>
            </a:br>
            <a:r>
              <a:rPr lang="en-US" sz="1100" b="1"/>
              <a:t>(</a:t>
            </a:r>
            <a:r>
              <a:rPr lang="en-US" sz="1100" b="0"/>
              <a:t>accusatif</a:t>
            </a:r>
            <a:r>
              <a:rPr lang="en-US" sz="1100" b="1"/>
              <a:t>)</a:t>
            </a:r>
          </a:p>
        </xdr:txBody>
      </xdr:sp>
      <xdr:sp macro="" textlink="">
        <xdr:nvSpPr>
          <xdr:cNvPr id="24" name="Oval 23"/>
          <xdr:cNvSpPr/>
        </xdr:nvSpPr>
        <xdr:spPr>
          <a:xfrm>
            <a:off x="6991350" y="3038475"/>
            <a:ext cx="1330014" cy="426360"/>
          </a:xfrm>
          <a:prstGeom prst="ellipse">
            <a:avLst/>
          </a:prstGeom>
          <a:ln>
            <a:solidFill>
              <a:srgbClr val="7030A0"/>
            </a:solidFill>
          </a:ln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 b="1"/>
              <a:t>Complément</a:t>
            </a:r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tanahutan@gmail.com" TargetMode="External"/><Relationship Id="rId1" Type="http://schemas.openxmlformats.org/officeDocument/2006/relationships/hyperlink" Target="http://www.notesdevoyage.com/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B2:N31"/>
  <sheetViews>
    <sheetView showGridLines="0" tabSelected="1" topLeftCell="A18" workbookViewId="0">
      <selection activeCell="L29" sqref="L29"/>
    </sheetView>
  </sheetViews>
  <sheetFormatPr defaultRowHeight="12.75"/>
  <cols>
    <col min="1" max="12" width="9.140625" style="272"/>
    <col min="13" max="13" width="10.28515625" style="272" bestFit="1" customWidth="1"/>
    <col min="14" max="14" width="29.28515625" style="272" bestFit="1" customWidth="1"/>
    <col min="15" max="16384" width="9.140625" style="272"/>
  </cols>
  <sheetData>
    <row r="2" spans="2:3" ht="20.25">
      <c r="B2" s="271" t="s">
        <v>904</v>
      </c>
    </row>
    <row r="4" spans="2:3">
      <c r="B4" s="273" t="s">
        <v>954</v>
      </c>
    </row>
    <row r="5" spans="2:3">
      <c r="B5" s="273" t="s">
        <v>955</v>
      </c>
    </row>
    <row r="6" spans="2:3">
      <c r="B6" s="273"/>
    </row>
    <row r="7" spans="2:3">
      <c r="B7" s="273" t="s">
        <v>1009</v>
      </c>
      <c r="C7" s="273"/>
    </row>
    <row r="8" spans="2:3">
      <c r="B8" s="279" t="s">
        <v>1274</v>
      </c>
    </row>
    <row r="9" spans="2:3">
      <c r="B9" s="273"/>
    </row>
    <row r="10" spans="2:3">
      <c r="B10" s="273" t="s">
        <v>1036</v>
      </c>
      <c r="C10" s="279" t="s">
        <v>1035</v>
      </c>
    </row>
    <row r="12" spans="2:3" ht="20.25">
      <c r="B12" s="271" t="s">
        <v>926</v>
      </c>
    </row>
    <row r="13" spans="2:3">
      <c r="B13" s="273" t="s">
        <v>924</v>
      </c>
    </row>
    <row r="14" spans="2:3">
      <c r="B14" s="273" t="s">
        <v>927</v>
      </c>
    </row>
    <row r="15" spans="2:3">
      <c r="B15" s="273" t="s">
        <v>1006</v>
      </c>
    </row>
    <row r="17" spans="2:14">
      <c r="B17" s="273" t="s">
        <v>1033</v>
      </c>
    </row>
    <row r="18" spans="2:14">
      <c r="B18" s="272" t="s">
        <v>1034</v>
      </c>
    </row>
    <row r="19" spans="2:14">
      <c r="B19" s="273" t="s">
        <v>1008</v>
      </c>
    </row>
    <row r="20" spans="2:14">
      <c r="B20" s="272" t="s">
        <v>1007</v>
      </c>
    </row>
    <row r="23" spans="2:14" ht="21">
      <c r="M23" s="417" t="str">
        <f>Radicals!A1</f>
        <v>65/100</v>
      </c>
      <c r="N23" s="417" t="s">
        <v>1278</v>
      </c>
    </row>
    <row r="24" spans="2:14" ht="20.25">
      <c r="B24" s="271" t="s">
        <v>968</v>
      </c>
    </row>
    <row r="25" spans="2:14" ht="21">
      <c r="M25" s="417">
        <f>Words!D1</f>
        <v>209</v>
      </c>
      <c r="N25" s="417" t="str">
        <f>Words!C1</f>
        <v>Nouns</v>
      </c>
    </row>
    <row r="26" spans="2:14" ht="21">
      <c r="B26" s="273" t="s">
        <v>1273</v>
      </c>
      <c r="M26" s="417">
        <f>Words!F1</f>
        <v>121</v>
      </c>
      <c r="N26" s="417" t="str">
        <f>Words!E1</f>
        <v>Adjectives</v>
      </c>
    </row>
    <row r="27" spans="2:14" ht="21">
      <c r="M27" s="417">
        <f>Words!H1</f>
        <v>146</v>
      </c>
      <c r="N27" s="417" t="str">
        <f>Words!G1</f>
        <v>Verbs</v>
      </c>
    </row>
    <row r="28" spans="2:14" ht="21">
      <c r="B28" s="273" t="s">
        <v>969</v>
      </c>
      <c r="M28" s="417">
        <f>Words!J1</f>
        <v>80</v>
      </c>
      <c r="N28" s="417" t="str">
        <f>Words!I1</f>
        <v>Adverbs &amp; complements</v>
      </c>
    </row>
    <row r="29" spans="2:14" ht="21">
      <c r="C29" s="272" t="s">
        <v>1004</v>
      </c>
      <c r="M29" s="417">
        <f>Words!L1</f>
        <v>39</v>
      </c>
      <c r="N29" s="417" t="str">
        <f>Words!K1</f>
        <v>Prepositions</v>
      </c>
    </row>
    <row r="30" spans="2:14" ht="21">
      <c r="M30" s="417">
        <f>'Correl Conjug'!A4</f>
        <v>64</v>
      </c>
      <c r="N30" s="417" t="str">
        <f>'Correl Conjug'!B4</f>
        <v>Correlatives</v>
      </c>
    </row>
    <row r="31" spans="2:14" ht="21">
      <c r="B31" s="273" t="s">
        <v>1005</v>
      </c>
      <c r="M31" s="418">
        <f>SUM(M25:M30)</f>
        <v>659</v>
      </c>
      <c r="N31" s="418" t="s">
        <v>1277</v>
      </c>
    </row>
  </sheetData>
  <hyperlinks>
    <hyperlink ref="C10" r:id="rId1"/>
    <hyperlink ref="B8" r:id="rId2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2:J97"/>
  <sheetViews>
    <sheetView showGridLines="0" zoomScaleNormal="100" workbookViewId="0">
      <pane ySplit="7" topLeftCell="A14" activePane="bottomLeft" state="frozen"/>
      <selection pane="bottomLeft" activeCell="F17" sqref="F17"/>
    </sheetView>
  </sheetViews>
  <sheetFormatPr defaultRowHeight="12.75"/>
  <cols>
    <col min="2" max="2" width="10.85546875" bestFit="1" customWidth="1"/>
    <col min="3" max="3" width="13.5703125" customWidth="1"/>
    <col min="4" max="4" width="10.42578125" bestFit="1" customWidth="1"/>
    <col min="5" max="5" width="12.140625" style="46" bestFit="1" customWidth="1"/>
    <col min="6" max="6" width="15.7109375" style="171" bestFit="1" customWidth="1"/>
    <col min="7" max="7" width="11.7109375" style="46" bestFit="1" customWidth="1"/>
    <col min="8" max="8" width="10.28515625" style="46" customWidth="1"/>
  </cols>
  <sheetData>
    <row r="2" spans="2:10" ht="20.25">
      <c r="E2" s="255" t="s">
        <v>764</v>
      </c>
    </row>
    <row r="3" spans="2:10">
      <c r="H3" s="173"/>
    </row>
    <row r="4" spans="2:10">
      <c r="D4" s="256">
        <f>SUM(H8:H97)/SUM(E8:E97)</f>
        <v>3.6923076923076925</v>
      </c>
      <c r="E4" s="42" t="s">
        <v>784</v>
      </c>
    </row>
    <row r="6" spans="2:10" ht="13.5" thickBot="1"/>
    <row r="7" spans="2:10" s="46" customFormat="1" ht="13.5" thickBot="1">
      <c r="B7" s="264" t="s">
        <v>956</v>
      </c>
      <c r="C7" s="262" t="s">
        <v>765</v>
      </c>
      <c r="D7" s="262" t="s">
        <v>737</v>
      </c>
      <c r="E7" s="262" t="s">
        <v>738</v>
      </c>
      <c r="F7" s="262" t="s">
        <v>739</v>
      </c>
      <c r="G7" s="262" t="s">
        <v>771</v>
      </c>
      <c r="H7" s="263" t="s">
        <v>759</v>
      </c>
    </row>
    <row r="8" spans="2:10">
      <c r="B8" s="186" t="s">
        <v>740</v>
      </c>
      <c r="C8" s="191"/>
      <c r="D8" s="176" t="s">
        <v>519</v>
      </c>
      <c r="E8" s="47">
        <v>5</v>
      </c>
      <c r="F8" s="177" t="str">
        <f>Words!I30</f>
        <v>pov</v>
      </c>
      <c r="G8" s="187">
        <f t="shared" ref="G8:G39" si="0">LEN(F8)</f>
        <v>3</v>
      </c>
      <c r="H8" s="189">
        <f t="shared" ref="H8:H39" si="1">G8*E8</f>
        <v>15</v>
      </c>
    </row>
    <row r="9" spans="2:10">
      <c r="B9" s="186" t="s">
        <v>740</v>
      </c>
      <c r="C9" s="191"/>
      <c r="D9" s="176" t="s">
        <v>516</v>
      </c>
      <c r="E9" s="47">
        <v>5</v>
      </c>
      <c r="F9" s="177" t="str">
        <f>Words!I15</f>
        <v>cev</v>
      </c>
      <c r="G9" s="187">
        <f t="shared" si="0"/>
        <v>3</v>
      </c>
      <c r="H9" s="189">
        <f t="shared" si="1"/>
        <v>15</v>
      </c>
    </row>
    <row r="10" spans="2:10">
      <c r="B10" s="178" t="s">
        <v>369</v>
      </c>
      <c r="C10" s="184" t="s">
        <v>769</v>
      </c>
      <c r="D10" s="176" t="s">
        <v>703</v>
      </c>
      <c r="E10" s="47">
        <v>5</v>
      </c>
      <c r="F10" s="177" t="str">
        <f>Words!G66</f>
        <v>nam</v>
      </c>
      <c r="G10" s="187">
        <f t="shared" si="0"/>
        <v>3</v>
      </c>
      <c r="H10" s="189">
        <f t="shared" si="1"/>
        <v>15</v>
      </c>
    </row>
    <row r="11" spans="2:10">
      <c r="B11" s="178" t="s">
        <v>369</v>
      </c>
      <c r="C11" s="184" t="s">
        <v>769</v>
      </c>
      <c r="D11" s="176" t="s">
        <v>724</v>
      </c>
      <c r="E11" s="47">
        <v>5</v>
      </c>
      <c r="F11" s="177" t="str">
        <f>Words!C68</f>
        <v>man</v>
      </c>
      <c r="G11" s="187">
        <f t="shared" si="0"/>
        <v>3</v>
      </c>
      <c r="H11" s="189">
        <f t="shared" si="1"/>
        <v>15</v>
      </c>
      <c r="J11" s="42" t="s">
        <v>770</v>
      </c>
    </row>
    <row r="12" spans="2:10">
      <c r="B12" s="178" t="s">
        <v>370</v>
      </c>
      <c r="C12" s="184" t="s">
        <v>766</v>
      </c>
      <c r="D12" s="176" t="s">
        <v>708</v>
      </c>
      <c r="E12" s="47">
        <v>5</v>
      </c>
      <c r="F12" s="177" t="str">
        <f>Words!G92</f>
        <v>fer</v>
      </c>
      <c r="G12" s="187">
        <f t="shared" si="0"/>
        <v>3</v>
      </c>
      <c r="H12" s="189">
        <f t="shared" si="1"/>
        <v>15</v>
      </c>
    </row>
    <row r="13" spans="2:10">
      <c r="B13" s="178" t="s">
        <v>370</v>
      </c>
      <c r="C13" s="184"/>
      <c r="D13" s="176" t="s">
        <v>706</v>
      </c>
      <c r="E13" s="47">
        <v>5</v>
      </c>
      <c r="F13" s="177" t="str">
        <f>Words!G5</f>
        <v>ner</v>
      </c>
      <c r="G13" s="187">
        <f t="shared" si="0"/>
        <v>3</v>
      </c>
      <c r="H13" s="189">
        <f t="shared" si="1"/>
        <v>15</v>
      </c>
    </row>
    <row r="14" spans="2:10">
      <c r="B14" s="178" t="s">
        <v>370</v>
      </c>
      <c r="C14" s="184"/>
      <c r="D14" s="176" t="s">
        <v>707</v>
      </c>
      <c r="E14" s="47">
        <v>5</v>
      </c>
      <c r="F14" s="177" t="str">
        <f>Words!G247</f>
        <v>waslar</v>
      </c>
      <c r="G14" s="187">
        <f t="shared" si="0"/>
        <v>6</v>
      </c>
      <c r="H14" s="189">
        <f t="shared" si="1"/>
        <v>30</v>
      </c>
    </row>
    <row r="15" spans="2:10">
      <c r="B15" s="178" t="s">
        <v>370</v>
      </c>
      <c r="C15" s="184"/>
      <c r="D15" s="176" t="s">
        <v>229</v>
      </c>
      <c r="E15" s="47">
        <v>5</v>
      </c>
      <c r="F15" s="177" t="str">
        <f>Words!G7</f>
        <v>rer</v>
      </c>
      <c r="G15" s="187">
        <f t="shared" si="0"/>
        <v>3</v>
      </c>
      <c r="H15" s="189">
        <f t="shared" si="1"/>
        <v>15</v>
      </c>
    </row>
    <row r="16" spans="2:10">
      <c r="B16" s="178" t="s">
        <v>761</v>
      </c>
      <c r="C16" s="184"/>
      <c r="D16" s="176" t="s">
        <v>741</v>
      </c>
      <c r="E16" s="47"/>
      <c r="F16" s="177" t="str">
        <f>Words!E135</f>
        <v>bof</v>
      </c>
      <c r="G16" s="187">
        <f t="shared" si="0"/>
        <v>3</v>
      </c>
      <c r="H16" s="189">
        <f t="shared" si="1"/>
        <v>0</v>
      </c>
    </row>
    <row r="17" spans="2:8">
      <c r="B17" s="178" t="s">
        <v>761</v>
      </c>
      <c r="C17" s="184"/>
      <c r="D17" s="176" t="s">
        <v>742</v>
      </c>
      <c r="E17" s="47"/>
      <c r="F17" s="177"/>
      <c r="G17" s="187">
        <f t="shared" si="0"/>
        <v>0</v>
      </c>
      <c r="H17" s="189">
        <f t="shared" si="1"/>
        <v>0</v>
      </c>
    </row>
    <row r="18" spans="2:8">
      <c r="B18" s="178" t="s">
        <v>761</v>
      </c>
      <c r="C18" s="184"/>
      <c r="D18" s="185" t="s">
        <v>760</v>
      </c>
      <c r="E18" s="47"/>
      <c r="F18" s="177"/>
      <c r="G18" s="187">
        <f t="shared" si="0"/>
        <v>0</v>
      </c>
      <c r="H18" s="189">
        <f t="shared" si="1"/>
        <v>0</v>
      </c>
    </row>
    <row r="19" spans="2:8">
      <c r="B19" s="178" t="s">
        <v>761</v>
      </c>
      <c r="C19" s="184"/>
      <c r="D19" s="176" t="s">
        <v>341</v>
      </c>
      <c r="E19" s="47"/>
      <c r="F19" s="177"/>
      <c r="G19" s="187">
        <f t="shared" si="0"/>
        <v>0</v>
      </c>
      <c r="H19" s="189">
        <f t="shared" si="1"/>
        <v>0</v>
      </c>
    </row>
    <row r="20" spans="2:8">
      <c r="B20" s="178" t="s">
        <v>761</v>
      </c>
      <c r="C20" s="184"/>
      <c r="D20" s="176" t="s">
        <v>743</v>
      </c>
      <c r="E20" s="47"/>
      <c r="F20" s="177"/>
      <c r="G20" s="187">
        <f t="shared" si="0"/>
        <v>0</v>
      </c>
      <c r="H20" s="189">
        <f t="shared" si="1"/>
        <v>0</v>
      </c>
    </row>
    <row r="21" spans="2:8">
      <c r="B21" s="178" t="s">
        <v>761</v>
      </c>
      <c r="C21" s="184"/>
      <c r="D21" s="176" t="s">
        <v>744</v>
      </c>
      <c r="E21" s="47"/>
      <c r="F21" s="177"/>
      <c r="G21" s="187">
        <f t="shared" si="0"/>
        <v>0</v>
      </c>
      <c r="H21" s="189">
        <f t="shared" si="1"/>
        <v>0</v>
      </c>
    </row>
    <row r="22" spans="2:8">
      <c r="B22" s="178" t="s">
        <v>761</v>
      </c>
      <c r="C22" s="184"/>
      <c r="D22" s="176" t="s">
        <v>745</v>
      </c>
      <c r="E22" s="47"/>
      <c r="F22" s="177"/>
      <c r="G22" s="187">
        <f t="shared" si="0"/>
        <v>0</v>
      </c>
      <c r="H22" s="189">
        <f t="shared" si="1"/>
        <v>0</v>
      </c>
    </row>
    <row r="23" spans="2:8">
      <c r="B23" s="178" t="s">
        <v>761</v>
      </c>
      <c r="C23" s="184"/>
      <c r="D23" s="176" t="s">
        <v>746</v>
      </c>
      <c r="E23" s="47"/>
      <c r="F23" s="177"/>
      <c r="G23" s="187">
        <f t="shared" si="0"/>
        <v>0</v>
      </c>
      <c r="H23" s="189">
        <f t="shared" si="1"/>
        <v>0</v>
      </c>
    </row>
    <row r="24" spans="2:8">
      <c r="B24" s="186" t="s">
        <v>740</v>
      </c>
      <c r="C24" s="191"/>
      <c r="D24" s="176" t="s">
        <v>722</v>
      </c>
      <c r="E24" s="47"/>
      <c r="F24" s="177"/>
      <c r="G24" s="187">
        <f t="shared" si="0"/>
        <v>0</v>
      </c>
      <c r="H24" s="189">
        <f t="shared" si="1"/>
        <v>0</v>
      </c>
    </row>
    <row r="25" spans="2:8">
      <c r="B25" s="186" t="s">
        <v>740</v>
      </c>
      <c r="C25" s="191"/>
      <c r="D25" s="176" t="s">
        <v>242</v>
      </c>
      <c r="E25" s="47"/>
      <c r="F25" s="177"/>
      <c r="G25" s="187">
        <f t="shared" si="0"/>
        <v>0</v>
      </c>
      <c r="H25" s="189">
        <f t="shared" si="1"/>
        <v>0</v>
      </c>
    </row>
    <row r="26" spans="2:8">
      <c r="B26" s="186" t="s">
        <v>740</v>
      </c>
      <c r="C26" s="191"/>
      <c r="D26" s="176" t="s">
        <v>531</v>
      </c>
      <c r="E26" s="47"/>
      <c r="F26" s="177"/>
      <c r="G26" s="187">
        <f t="shared" si="0"/>
        <v>0</v>
      </c>
      <c r="H26" s="189">
        <f t="shared" si="1"/>
        <v>0</v>
      </c>
    </row>
    <row r="27" spans="2:8">
      <c r="B27" s="186" t="s">
        <v>740</v>
      </c>
      <c r="C27" s="191"/>
      <c r="D27" s="176" t="s">
        <v>529</v>
      </c>
      <c r="E27" s="47"/>
      <c r="F27" s="177"/>
      <c r="G27" s="187">
        <f t="shared" si="0"/>
        <v>0</v>
      </c>
      <c r="H27" s="189">
        <f t="shared" si="1"/>
        <v>0</v>
      </c>
    </row>
    <row r="28" spans="2:8">
      <c r="B28" s="186" t="s">
        <v>740</v>
      </c>
      <c r="C28" s="191"/>
      <c r="D28" s="176" t="s">
        <v>723</v>
      </c>
      <c r="E28" s="47"/>
      <c r="F28" s="177"/>
      <c r="G28" s="187">
        <f t="shared" si="0"/>
        <v>0</v>
      </c>
      <c r="H28" s="189">
        <f t="shared" si="1"/>
        <v>0</v>
      </c>
    </row>
    <row r="29" spans="2:8">
      <c r="B29" s="178" t="s">
        <v>763</v>
      </c>
      <c r="C29" s="184"/>
      <c r="D29" s="176" t="s">
        <v>750</v>
      </c>
      <c r="E29" s="47"/>
      <c r="F29" s="177"/>
      <c r="G29" s="187">
        <f t="shared" si="0"/>
        <v>0</v>
      </c>
      <c r="H29" s="189">
        <f t="shared" si="1"/>
        <v>0</v>
      </c>
    </row>
    <row r="30" spans="2:8">
      <c r="B30" s="178" t="s">
        <v>763</v>
      </c>
      <c r="C30" s="184"/>
      <c r="D30" s="176" t="s">
        <v>751</v>
      </c>
      <c r="E30" s="47"/>
      <c r="F30" s="177"/>
      <c r="G30" s="187">
        <f t="shared" si="0"/>
        <v>0</v>
      </c>
      <c r="H30" s="189">
        <f t="shared" si="1"/>
        <v>0</v>
      </c>
    </row>
    <row r="31" spans="2:8">
      <c r="B31" s="178" t="s">
        <v>763</v>
      </c>
      <c r="C31" s="184"/>
      <c r="D31" s="176" t="s">
        <v>752</v>
      </c>
      <c r="E31" s="47"/>
      <c r="F31" s="177"/>
      <c r="G31" s="187">
        <f t="shared" si="0"/>
        <v>0</v>
      </c>
      <c r="H31" s="189">
        <f t="shared" si="1"/>
        <v>0</v>
      </c>
    </row>
    <row r="32" spans="2:8">
      <c r="B32" s="178" t="s">
        <v>763</v>
      </c>
      <c r="C32" s="184"/>
      <c r="D32" s="176" t="s">
        <v>753</v>
      </c>
      <c r="E32" s="47"/>
      <c r="F32" s="177"/>
      <c r="G32" s="187">
        <f t="shared" si="0"/>
        <v>0</v>
      </c>
      <c r="H32" s="189">
        <f t="shared" si="1"/>
        <v>0</v>
      </c>
    </row>
    <row r="33" spans="2:8">
      <c r="B33" s="178" t="s">
        <v>763</v>
      </c>
      <c r="C33" s="184"/>
      <c r="D33" s="176" t="s">
        <v>754</v>
      </c>
      <c r="E33" s="47"/>
      <c r="F33" s="177"/>
      <c r="G33" s="187">
        <f t="shared" si="0"/>
        <v>0</v>
      </c>
      <c r="H33" s="189">
        <f t="shared" si="1"/>
        <v>0</v>
      </c>
    </row>
    <row r="34" spans="2:8">
      <c r="B34" s="178" t="s">
        <v>763</v>
      </c>
      <c r="C34" s="184"/>
      <c r="D34" s="176" t="s">
        <v>755</v>
      </c>
      <c r="E34" s="47"/>
      <c r="F34" s="177"/>
      <c r="G34" s="187">
        <f t="shared" si="0"/>
        <v>0</v>
      </c>
      <c r="H34" s="189">
        <f t="shared" si="1"/>
        <v>0</v>
      </c>
    </row>
    <row r="35" spans="2:8">
      <c r="B35" s="178" t="s">
        <v>763</v>
      </c>
      <c r="C35" s="184"/>
      <c r="D35" s="176" t="s">
        <v>756</v>
      </c>
      <c r="E35" s="47"/>
      <c r="F35" s="177"/>
      <c r="G35" s="187">
        <f t="shared" si="0"/>
        <v>0</v>
      </c>
      <c r="H35" s="189">
        <f t="shared" si="1"/>
        <v>0</v>
      </c>
    </row>
    <row r="36" spans="2:8">
      <c r="B36" s="178" t="s">
        <v>763</v>
      </c>
      <c r="C36" s="184"/>
      <c r="D36" s="176" t="s">
        <v>757</v>
      </c>
      <c r="E36" s="47"/>
      <c r="F36" s="177"/>
      <c r="G36" s="187">
        <f t="shared" si="0"/>
        <v>0</v>
      </c>
      <c r="H36" s="189">
        <f t="shared" si="1"/>
        <v>0</v>
      </c>
    </row>
    <row r="37" spans="2:8">
      <c r="B37" s="178" t="s">
        <v>763</v>
      </c>
      <c r="C37" s="184"/>
      <c r="D37" s="176" t="s">
        <v>758</v>
      </c>
      <c r="E37" s="47"/>
      <c r="F37" s="177"/>
      <c r="G37" s="187">
        <f t="shared" si="0"/>
        <v>0</v>
      </c>
      <c r="H37" s="189">
        <f t="shared" si="1"/>
        <v>0</v>
      </c>
    </row>
    <row r="38" spans="2:8">
      <c r="B38" s="178" t="s">
        <v>369</v>
      </c>
      <c r="C38" s="184" t="s">
        <v>769</v>
      </c>
      <c r="D38" s="176" t="s">
        <v>725</v>
      </c>
      <c r="E38" s="47"/>
      <c r="F38" s="177"/>
      <c r="G38" s="187">
        <f t="shared" si="0"/>
        <v>0</v>
      </c>
      <c r="H38" s="189">
        <f t="shared" si="1"/>
        <v>0</v>
      </c>
    </row>
    <row r="39" spans="2:8">
      <c r="B39" s="178" t="s">
        <v>369</v>
      </c>
      <c r="C39" s="184" t="s">
        <v>769</v>
      </c>
      <c r="D39" s="176" t="s">
        <v>726</v>
      </c>
      <c r="E39" s="47"/>
      <c r="F39" s="177"/>
      <c r="G39" s="187">
        <f t="shared" si="0"/>
        <v>0</v>
      </c>
      <c r="H39" s="189">
        <f t="shared" si="1"/>
        <v>0</v>
      </c>
    </row>
    <row r="40" spans="2:8">
      <c r="B40" s="178" t="s">
        <v>369</v>
      </c>
      <c r="C40" s="184" t="s">
        <v>769</v>
      </c>
      <c r="D40" s="176" t="s">
        <v>727</v>
      </c>
      <c r="E40" s="47"/>
      <c r="F40" s="177"/>
      <c r="G40" s="187">
        <f t="shared" ref="G40:G69" si="2">LEN(F40)</f>
        <v>0</v>
      </c>
      <c r="H40" s="189">
        <f t="shared" ref="H40:H69" si="3">G40*E40</f>
        <v>0</v>
      </c>
    </row>
    <row r="41" spans="2:8">
      <c r="B41" s="178" t="s">
        <v>369</v>
      </c>
      <c r="C41" s="192" t="s">
        <v>573</v>
      </c>
      <c r="D41" s="176" t="s">
        <v>728</v>
      </c>
      <c r="E41" s="47"/>
      <c r="F41" s="177"/>
      <c r="G41" s="187">
        <f t="shared" si="2"/>
        <v>0</v>
      </c>
      <c r="H41" s="189">
        <f t="shared" si="3"/>
        <v>0</v>
      </c>
    </row>
    <row r="42" spans="2:8">
      <c r="B42" s="178" t="s">
        <v>369</v>
      </c>
      <c r="C42" s="192" t="s">
        <v>573</v>
      </c>
      <c r="D42" s="176" t="s">
        <v>729</v>
      </c>
      <c r="E42" s="47"/>
      <c r="F42" s="177"/>
      <c r="G42" s="187">
        <f t="shared" si="2"/>
        <v>0</v>
      </c>
      <c r="H42" s="189">
        <f t="shared" si="3"/>
        <v>0</v>
      </c>
    </row>
    <row r="43" spans="2:8">
      <c r="B43" s="178" t="s">
        <v>369</v>
      </c>
      <c r="C43" s="192" t="s">
        <v>573</v>
      </c>
      <c r="D43" s="176" t="s">
        <v>650</v>
      </c>
      <c r="E43" s="47"/>
      <c r="F43" s="177"/>
      <c r="G43" s="187">
        <f t="shared" si="2"/>
        <v>0</v>
      </c>
      <c r="H43" s="189">
        <f t="shared" si="3"/>
        <v>0</v>
      </c>
    </row>
    <row r="44" spans="2:8">
      <c r="B44" s="178" t="s">
        <v>369</v>
      </c>
      <c r="C44" s="192" t="s">
        <v>573</v>
      </c>
      <c r="D44" s="176" t="s">
        <v>733</v>
      </c>
      <c r="E44" s="47"/>
      <c r="F44" s="177"/>
      <c r="G44" s="187">
        <f t="shared" si="2"/>
        <v>0</v>
      </c>
      <c r="H44" s="189">
        <f t="shared" si="3"/>
        <v>0</v>
      </c>
    </row>
    <row r="45" spans="2:8">
      <c r="B45" s="178" t="s">
        <v>369</v>
      </c>
      <c r="C45" s="192" t="s">
        <v>573</v>
      </c>
      <c r="D45" s="176" t="s">
        <v>734</v>
      </c>
      <c r="E45" s="47"/>
      <c r="F45" s="177"/>
      <c r="G45" s="187">
        <f t="shared" si="2"/>
        <v>0</v>
      </c>
      <c r="H45" s="189">
        <f t="shared" si="3"/>
        <v>0</v>
      </c>
    </row>
    <row r="46" spans="2:8">
      <c r="B46" s="178" t="s">
        <v>369</v>
      </c>
      <c r="C46" s="192" t="s">
        <v>573</v>
      </c>
      <c r="D46" s="176" t="s">
        <v>735</v>
      </c>
      <c r="E46" s="47"/>
      <c r="F46" s="177"/>
      <c r="G46" s="187">
        <f t="shared" si="2"/>
        <v>0</v>
      </c>
      <c r="H46" s="189">
        <f t="shared" si="3"/>
        <v>0</v>
      </c>
    </row>
    <row r="47" spans="2:8">
      <c r="B47" s="178" t="s">
        <v>369</v>
      </c>
      <c r="C47" s="192" t="s">
        <v>572</v>
      </c>
      <c r="D47" s="176" t="s">
        <v>730</v>
      </c>
      <c r="E47" s="47"/>
      <c r="F47" s="177"/>
      <c r="G47" s="187">
        <f t="shared" si="2"/>
        <v>0</v>
      </c>
      <c r="H47" s="189">
        <f t="shared" si="3"/>
        <v>0</v>
      </c>
    </row>
    <row r="48" spans="2:8">
      <c r="B48" s="178" t="s">
        <v>369</v>
      </c>
      <c r="C48" s="192" t="s">
        <v>572</v>
      </c>
      <c r="D48" s="176" t="s">
        <v>731</v>
      </c>
      <c r="E48" s="47"/>
      <c r="F48" s="177"/>
      <c r="G48" s="187">
        <f t="shared" si="2"/>
        <v>0</v>
      </c>
      <c r="H48" s="189">
        <f t="shared" si="3"/>
        <v>0</v>
      </c>
    </row>
    <row r="49" spans="2:8">
      <c r="B49" s="178" t="s">
        <v>369</v>
      </c>
      <c r="C49" s="192" t="s">
        <v>572</v>
      </c>
      <c r="D49" s="176" t="s">
        <v>732</v>
      </c>
      <c r="E49" s="47"/>
      <c r="F49" s="177"/>
      <c r="G49" s="187">
        <f t="shared" si="2"/>
        <v>0</v>
      </c>
      <c r="H49" s="189">
        <f t="shared" si="3"/>
        <v>0</v>
      </c>
    </row>
    <row r="50" spans="2:8">
      <c r="B50" s="178" t="s">
        <v>369</v>
      </c>
      <c r="C50" s="184"/>
      <c r="D50" s="176" t="s">
        <v>736</v>
      </c>
      <c r="E50" s="47"/>
      <c r="F50" s="177"/>
      <c r="G50" s="187">
        <f t="shared" si="2"/>
        <v>0</v>
      </c>
      <c r="H50" s="189">
        <f t="shared" si="3"/>
        <v>0</v>
      </c>
    </row>
    <row r="51" spans="2:8">
      <c r="B51" s="178" t="s">
        <v>762</v>
      </c>
      <c r="C51" s="192" t="s">
        <v>573</v>
      </c>
      <c r="D51" s="176" t="s">
        <v>747</v>
      </c>
      <c r="E51" s="47"/>
      <c r="F51" s="177"/>
      <c r="G51" s="187">
        <f t="shared" si="2"/>
        <v>0</v>
      </c>
      <c r="H51" s="189">
        <f t="shared" si="3"/>
        <v>0</v>
      </c>
    </row>
    <row r="52" spans="2:8">
      <c r="B52" s="178" t="s">
        <v>762</v>
      </c>
      <c r="C52" s="192" t="s">
        <v>573</v>
      </c>
      <c r="D52" s="176" t="s">
        <v>215</v>
      </c>
      <c r="E52" s="47"/>
      <c r="F52" s="177"/>
      <c r="G52" s="187">
        <f t="shared" si="2"/>
        <v>0</v>
      </c>
      <c r="H52" s="189">
        <f t="shared" si="3"/>
        <v>0</v>
      </c>
    </row>
    <row r="53" spans="2:8">
      <c r="B53" s="178" t="s">
        <v>762</v>
      </c>
      <c r="C53" s="192" t="s">
        <v>573</v>
      </c>
      <c r="D53" s="176" t="s">
        <v>216</v>
      </c>
      <c r="E53" s="47"/>
      <c r="F53" s="177"/>
      <c r="G53" s="187">
        <f t="shared" si="2"/>
        <v>0</v>
      </c>
      <c r="H53" s="189">
        <f t="shared" si="3"/>
        <v>0</v>
      </c>
    </row>
    <row r="54" spans="2:8">
      <c r="B54" s="178" t="s">
        <v>762</v>
      </c>
      <c r="C54" s="184"/>
      <c r="D54" s="176" t="s">
        <v>503</v>
      </c>
      <c r="E54" s="47"/>
      <c r="F54" s="177"/>
      <c r="G54" s="187">
        <f t="shared" si="2"/>
        <v>0</v>
      </c>
      <c r="H54" s="189">
        <f t="shared" si="3"/>
        <v>0</v>
      </c>
    </row>
    <row r="55" spans="2:8">
      <c r="B55" s="178" t="s">
        <v>762</v>
      </c>
      <c r="C55" s="184"/>
      <c r="D55" s="176" t="s">
        <v>748</v>
      </c>
      <c r="E55" s="47"/>
      <c r="F55" s="177"/>
      <c r="G55" s="187">
        <f t="shared" si="2"/>
        <v>0</v>
      </c>
      <c r="H55" s="189">
        <f t="shared" si="3"/>
        <v>0</v>
      </c>
    </row>
    <row r="56" spans="2:8">
      <c r="B56" s="178" t="s">
        <v>762</v>
      </c>
      <c r="C56" s="184"/>
      <c r="D56" s="176" t="s">
        <v>749</v>
      </c>
      <c r="E56" s="47"/>
      <c r="F56" s="177"/>
      <c r="G56" s="187">
        <f t="shared" si="2"/>
        <v>0</v>
      </c>
      <c r="H56" s="189">
        <f t="shared" si="3"/>
        <v>0</v>
      </c>
    </row>
    <row r="57" spans="2:8">
      <c r="B57" s="178" t="s">
        <v>370</v>
      </c>
      <c r="C57" s="192" t="s">
        <v>768</v>
      </c>
      <c r="D57" s="176" t="s">
        <v>717</v>
      </c>
      <c r="E57" s="47"/>
      <c r="F57" s="177"/>
      <c r="G57" s="187">
        <f t="shared" si="2"/>
        <v>0</v>
      </c>
      <c r="H57" s="189">
        <f t="shared" si="3"/>
        <v>0</v>
      </c>
    </row>
    <row r="58" spans="2:8">
      <c r="B58" s="178" t="s">
        <v>370</v>
      </c>
      <c r="C58" s="192" t="s">
        <v>768</v>
      </c>
      <c r="D58" s="176" t="s">
        <v>718</v>
      </c>
      <c r="E58" s="47"/>
      <c r="F58" s="177"/>
      <c r="G58" s="187">
        <f t="shared" si="2"/>
        <v>0</v>
      </c>
      <c r="H58" s="189">
        <f t="shared" si="3"/>
        <v>0</v>
      </c>
    </row>
    <row r="59" spans="2:8">
      <c r="B59" s="178" t="s">
        <v>370</v>
      </c>
      <c r="C59" s="192" t="s">
        <v>768</v>
      </c>
      <c r="D59" s="176" t="s">
        <v>719</v>
      </c>
      <c r="E59" s="47"/>
      <c r="F59" s="177"/>
      <c r="G59" s="187">
        <f t="shared" si="2"/>
        <v>0</v>
      </c>
      <c r="H59" s="189">
        <f t="shared" si="3"/>
        <v>0</v>
      </c>
    </row>
    <row r="60" spans="2:8">
      <c r="B60" s="178" t="s">
        <v>370</v>
      </c>
      <c r="C60" s="192" t="s">
        <v>768</v>
      </c>
      <c r="D60" s="176" t="s">
        <v>720</v>
      </c>
      <c r="E60" s="47"/>
      <c r="F60" s="177"/>
      <c r="G60" s="187">
        <f t="shared" si="2"/>
        <v>0</v>
      </c>
      <c r="H60" s="189">
        <f t="shared" si="3"/>
        <v>0</v>
      </c>
    </row>
    <row r="61" spans="2:8">
      <c r="B61" s="178" t="s">
        <v>370</v>
      </c>
      <c r="C61" s="192" t="s">
        <v>768</v>
      </c>
      <c r="D61" s="176" t="s">
        <v>721</v>
      </c>
      <c r="E61" s="47"/>
      <c r="F61" s="177"/>
      <c r="G61" s="187">
        <f t="shared" si="2"/>
        <v>0</v>
      </c>
      <c r="H61" s="189">
        <f t="shared" si="3"/>
        <v>0</v>
      </c>
    </row>
    <row r="62" spans="2:8">
      <c r="B62" s="178" t="s">
        <v>370</v>
      </c>
      <c r="C62" s="184" t="s">
        <v>766</v>
      </c>
      <c r="D62" s="176" t="s">
        <v>709</v>
      </c>
      <c r="E62" s="47">
        <v>5</v>
      </c>
      <c r="F62" s="177" t="str">
        <f>Words!G95</f>
        <v>ster</v>
      </c>
      <c r="G62" s="187">
        <f t="shared" si="2"/>
        <v>4</v>
      </c>
      <c r="H62" s="189">
        <f t="shared" si="3"/>
        <v>20</v>
      </c>
    </row>
    <row r="63" spans="2:8">
      <c r="B63" s="178" t="s">
        <v>370</v>
      </c>
      <c r="C63" s="184" t="s">
        <v>766</v>
      </c>
      <c r="D63" s="176" t="s">
        <v>710</v>
      </c>
      <c r="E63" s="47">
        <v>5</v>
      </c>
      <c r="F63" s="177" t="str">
        <f>Words!G98</f>
        <v>wasfer</v>
      </c>
      <c r="G63" s="187">
        <f t="shared" si="2"/>
        <v>6</v>
      </c>
      <c r="H63" s="189">
        <f t="shared" si="3"/>
        <v>30</v>
      </c>
    </row>
    <row r="64" spans="2:8">
      <c r="B64" s="178" t="s">
        <v>370</v>
      </c>
      <c r="C64" s="184" t="s">
        <v>766</v>
      </c>
      <c r="D64" s="176" t="s">
        <v>711</v>
      </c>
      <c r="E64" s="47"/>
      <c r="F64" s="177"/>
      <c r="G64" s="187">
        <f t="shared" si="2"/>
        <v>0</v>
      </c>
      <c r="H64" s="189">
        <f t="shared" si="3"/>
        <v>0</v>
      </c>
    </row>
    <row r="65" spans="2:8">
      <c r="B65" s="178" t="s">
        <v>370</v>
      </c>
      <c r="C65" s="184" t="s">
        <v>766</v>
      </c>
      <c r="D65" s="176" t="s">
        <v>712</v>
      </c>
      <c r="E65" s="47"/>
      <c r="F65" s="177"/>
      <c r="G65" s="187">
        <f t="shared" si="2"/>
        <v>0</v>
      </c>
      <c r="H65" s="189">
        <f t="shared" si="3"/>
        <v>0</v>
      </c>
    </row>
    <row r="66" spans="2:8">
      <c r="B66" s="178" t="s">
        <v>370</v>
      </c>
      <c r="C66" s="184" t="s">
        <v>766</v>
      </c>
      <c r="D66" s="176" t="s">
        <v>713</v>
      </c>
      <c r="E66" s="47"/>
      <c r="F66" s="177"/>
      <c r="G66" s="187">
        <f t="shared" si="2"/>
        <v>0</v>
      </c>
      <c r="H66" s="189">
        <f t="shared" si="3"/>
        <v>0</v>
      </c>
    </row>
    <row r="67" spans="2:8">
      <c r="B67" s="178" t="s">
        <v>370</v>
      </c>
      <c r="C67" s="192" t="s">
        <v>767</v>
      </c>
      <c r="D67" s="176" t="s">
        <v>714</v>
      </c>
      <c r="E67" s="47">
        <v>5</v>
      </c>
      <c r="F67" s="177" t="str">
        <f>Words!G169</f>
        <v>zer</v>
      </c>
      <c r="G67" s="187">
        <f t="shared" si="2"/>
        <v>3</v>
      </c>
      <c r="H67" s="189">
        <f t="shared" si="3"/>
        <v>15</v>
      </c>
    </row>
    <row r="68" spans="2:8">
      <c r="B68" s="178" t="s">
        <v>370</v>
      </c>
      <c r="C68" s="192" t="s">
        <v>767</v>
      </c>
      <c r="D68" s="176" t="s">
        <v>715</v>
      </c>
      <c r="E68" s="47">
        <v>5</v>
      </c>
      <c r="F68" s="177" t="str">
        <f>Words!G178</f>
        <v>ror</v>
      </c>
      <c r="G68" s="187">
        <f t="shared" si="2"/>
        <v>3</v>
      </c>
      <c r="H68" s="189">
        <f t="shared" si="3"/>
        <v>15</v>
      </c>
    </row>
    <row r="69" spans="2:8">
      <c r="B69" s="178" t="s">
        <v>370</v>
      </c>
      <c r="C69" s="192" t="s">
        <v>767</v>
      </c>
      <c r="D69" s="176" t="s">
        <v>716</v>
      </c>
      <c r="E69" s="47">
        <v>5</v>
      </c>
      <c r="F69" s="177" t="str">
        <f>Words!G180</f>
        <v>paror</v>
      </c>
      <c r="G69" s="187">
        <f t="shared" si="2"/>
        <v>5</v>
      </c>
      <c r="H69" s="189">
        <f t="shared" si="3"/>
        <v>25</v>
      </c>
    </row>
    <row r="70" spans="2:8">
      <c r="B70" s="174"/>
      <c r="C70" s="176"/>
      <c r="D70" s="176"/>
      <c r="E70" s="47"/>
      <c r="F70" s="177"/>
      <c r="G70" s="187"/>
      <c r="H70" s="189"/>
    </row>
    <row r="71" spans="2:8">
      <c r="B71" s="174"/>
      <c r="C71" s="176"/>
      <c r="D71" s="176"/>
      <c r="E71" s="47"/>
      <c r="F71" s="177"/>
      <c r="G71" s="187"/>
      <c r="H71" s="189"/>
    </row>
    <row r="72" spans="2:8">
      <c r="B72" s="174"/>
      <c r="C72" s="176"/>
      <c r="D72" s="176"/>
      <c r="E72" s="47"/>
      <c r="F72" s="177"/>
      <c r="G72" s="187"/>
      <c r="H72" s="189"/>
    </row>
    <row r="73" spans="2:8">
      <c r="B73" s="174"/>
      <c r="C73" s="176"/>
      <c r="D73" s="176"/>
      <c r="E73" s="47"/>
      <c r="F73" s="177"/>
      <c r="G73" s="187"/>
      <c r="H73" s="189"/>
    </row>
    <row r="74" spans="2:8">
      <c r="B74" s="174"/>
      <c r="C74" s="176"/>
      <c r="D74" s="176"/>
      <c r="E74" s="47"/>
      <c r="F74" s="177"/>
      <c r="G74" s="187"/>
      <c r="H74" s="189"/>
    </row>
    <row r="75" spans="2:8">
      <c r="B75" s="174"/>
      <c r="C75" s="176"/>
      <c r="D75" s="176"/>
      <c r="E75" s="47"/>
      <c r="F75" s="177"/>
      <c r="G75" s="187"/>
      <c r="H75" s="189"/>
    </row>
    <row r="76" spans="2:8">
      <c r="B76" s="174"/>
      <c r="C76" s="176"/>
      <c r="D76" s="176"/>
      <c r="E76" s="47"/>
      <c r="F76" s="177"/>
      <c r="G76" s="187"/>
      <c r="H76" s="189"/>
    </row>
    <row r="77" spans="2:8">
      <c r="B77" s="174"/>
      <c r="C77" s="176"/>
      <c r="D77" s="176"/>
      <c r="E77" s="47"/>
      <c r="F77" s="177"/>
      <c r="G77" s="187"/>
      <c r="H77" s="189"/>
    </row>
    <row r="78" spans="2:8">
      <c r="B78" s="174"/>
      <c r="C78" s="176"/>
      <c r="D78" s="176"/>
      <c r="E78" s="47"/>
      <c r="F78" s="177"/>
      <c r="G78" s="187"/>
      <c r="H78" s="189"/>
    </row>
    <row r="79" spans="2:8">
      <c r="B79" s="174"/>
      <c r="C79" s="176"/>
      <c r="D79" s="176"/>
      <c r="E79" s="47"/>
      <c r="F79" s="177"/>
      <c r="G79" s="187"/>
      <c r="H79" s="189"/>
    </row>
    <row r="80" spans="2:8">
      <c r="B80" s="174"/>
      <c r="C80" s="176"/>
      <c r="D80" s="176"/>
      <c r="E80" s="47"/>
      <c r="F80" s="177"/>
      <c r="G80" s="187"/>
      <c r="H80" s="189"/>
    </row>
    <row r="81" spans="2:8">
      <c r="B81" s="174"/>
      <c r="C81" s="176"/>
      <c r="D81" s="176"/>
      <c r="E81" s="47"/>
      <c r="F81" s="177"/>
      <c r="G81" s="187"/>
      <c r="H81" s="189"/>
    </row>
    <row r="82" spans="2:8">
      <c r="B82" s="174"/>
      <c r="C82" s="176"/>
      <c r="D82" s="176"/>
      <c r="E82" s="47"/>
      <c r="F82" s="177"/>
      <c r="G82" s="187"/>
      <c r="H82" s="189"/>
    </row>
    <row r="83" spans="2:8">
      <c r="B83" s="174"/>
      <c r="C83" s="176"/>
      <c r="D83" s="176"/>
      <c r="E83" s="47"/>
      <c r="F83" s="177"/>
      <c r="G83" s="187"/>
      <c r="H83" s="189"/>
    </row>
    <row r="84" spans="2:8">
      <c r="B84" s="174"/>
      <c r="C84" s="176"/>
      <c r="D84" s="176"/>
      <c r="E84" s="47"/>
      <c r="F84" s="177"/>
      <c r="G84" s="187"/>
      <c r="H84" s="189"/>
    </row>
    <row r="85" spans="2:8">
      <c r="B85" s="174"/>
      <c r="C85" s="176"/>
      <c r="D85" s="176"/>
      <c r="E85" s="47"/>
      <c r="F85" s="177"/>
      <c r="G85" s="187"/>
      <c r="H85" s="189"/>
    </row>
    <row r="86" spans="2:8">
      <c r="B86" s="174"/>
      <c r="C86" s="176"/>
      <c r="D86" s="176"/>
      <c r="E86" s="47"/>
      <c r="F86" s="177"/>
      <c r="G86" s="187"/>
      <c r="H86" s="189"/>
    </row>
    <row r="87" spans="2:8">
      <c r="B87" s="174"/>
      <c r="C87" s="176"/>
      <c r="D87" s="176"/>
      <c r="E87" s="47"/>
      <c r="F87" s="177"/>
      <c r="G87" s="187"/>
      <c r="H87" s="189"/>
    </row>
    <row r="88" spans="2:8">
      <c r="B88" s="174"/>
      <c r="C88" s="176"/>
      <c r="D88" s="176"/>
      <c r="E88" s="47"/>
      <c r="F88" s="177"/>
      <c r="G88" s="187"/>
      <c r="H88" s="189"/>
    </row>
    <row r="89" spans="2:8">
      <c r="B89" s="174"/>
      <c r="C89" s="176"/>
      <c r="D89" s="176"/>
      <c r="E89" s="47"/>
      <c r="F89" s="177"/>
      <c r="G89" s="187"/>
      <c r="H89" s="189"/>
    </row>
    <row r="90" spans="2:8">
      <c r="B90" s="174"/>
      <c r="C90" s="176"/>
      <c r="D90" s="176"/>
      <c r="E90" s="47"/>
      <c r="F90" s="177"/>
      <c r="G90" s="187"/>
      <c r="H90" s="189"/>
    </row>
    <row r="91" spans="2:8">
      <c r="B91" s="174"/>
      <c r="C91" s="176"/>
      <c r="D91" s="176"/>
      <c r="E91" s="47"/>
      <c r="F91" s="177"/>
      <c r="G91" s="187"/>
      <c r="H91" s="189"/>
    </row>
    <row r="92" spans="2:8">
      <c r="B92" s="174"/>
      <c r="C92" s="176"/>
      <c r="D92" s="176"/>
      <c r="E92" s="47"/>
      <c r="F92" s="177"/>
      <c r="G92" s="187"/>
      <c r="H92" s="189"/>
    </row>
    <row r="93" spans="2:8">
      <c r="B93" s="174"/>
      <c r="C93" s="176"/>
      <c r="D93" s="176"/>
      <c r="E93" s="47"/>
      <c r="F93" s="177"/>
      <c r="G93" s="187"/>
      <c r="H93" s="189"/>
    </row>
    <row r="94" spans="2:8">
      <c r="B94" s="174"/>
      <c r="C94" s="176"/>
      <c r="D94" s="176"/>
      <c r="E94" s="47"/>
      <c r="F94" s="177"/>
      <c r="G94" s="187"/>
      <c r="H94" s="189"/>
    </row>
    <row r="95" spans="2:8">
      <c r="B95" s="174"/>
      <c r="C95" s="176"/>
      <c r="D95" s="176"/>
      <c r="E95" s="47"/>
      <c r="F95" s="177"/>
      <c r="G95" s="187"/>
      <c r="H95" s="189"/>
    </row>
    <row r="96" spans="2:8">
      <c r="B96" s="174"/>
      <c r="C96" s="176"/>
      <c r="D96" s="176"/>
      <c r="E96" s="47"/>
      <c r="F96" s="177"/>
      <c r="G96" s="187"/>
      <c r="H96" s="189"/>
    </row>
    <row r="97" spans="2:8">
      <c r="B97" s="179"/>
      <c r="C97" s="180"/>
      <c r="D97" s="180"/>
      <c r="E97" s="181"/>
      <c r="F97" s="182"/>
      <c r="G97" s="188"/>
      <c r="H97" s="190"/>
    </row>
  </sheetData>
  <autoFilter ref="B7:H7">
    <sortState ref="B8:H70">
      <sortCondition descending="1" ref="E7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4"/>
  <sheetViews>
    <sheetView showGridLines="0" workbookViewId="0">
      <selection activeCell="I31" sqref="I31"/>
    </sheetView>
  </sheetViews>
  <sheetFormatPr defaultRowHeight="12.75"/>
  <cols>
    <col min="1" max="1" width="4.28515625" style="5" customWidth="1"/>
    <col min="2" max="2" width="17.42578125" customWidth="1"/>
    <col min="3" max="3" width="14" customWidth="1"/>
    <col min="4" max="4" width="12.42578125" style="44" bestFit="1" customWidth="1"/>
    <col min="5" max="5" width="13.5703125" bestFit="1" customWidth="1"/>
    <col min="6" max="6" width="13.85546875" bestFit="1" customWidth="1"/>
    <col min="7" max="7" width="13.85546875" customWidth="1"/>
    <col min="8" max="8" width="15" bestFit="1" customWidth="1"/>
    <col min="9" max="9" width="14.85546875" customWidth="1"/>
    <col min="10" max="11" width="13.28515625" customWidth="1"/>
    <col min="12" max="12" width="14" customWidth="1"/>
    <col min="13" max="13" width="7.5703125" bestFit="1" customWidth="1"/>
  </cols>
  <sheetData>
    <row r="1" spans="1:15" s="5" customFormat="1" ht="13.5" thickBot="1">
      <c r="B1" s="90"/>
      <c r="D1" s="127"/>
    </row>
    <row r="2" spans="1:15" ht="16.5" customHeight="1" thickBot="1">
      <c r="B2" s="415" t="s">
        <v>381</v>
      </c>
      <c r="C2" s="406" t="s">
        <v>169</v>
      </c>
      <c r="D2" s="407"/>
      <c r="E2" s="406" t="s">
        <v>174</v>
      </c>
      <c r="F2" s="414"/>
      <c r="G2" s="414"/>
      <c r="H2" s="414"/>
      <c r="I2" s="414"/>
      <c r="J2" s="414"/>
      <c r="K2" s="414"/>
      <c r="L2" s="407"/>
      <c r="M2" s="66" t="s">
        <v>482</v>
      </c>
    </row>
    <row r="3" spans="1:15" s="45" customFormat="1" ht="15.75" customHeight="1" thickBot="1">
      <c r="A3" s="125"/>
      <c r="B3" s="416"/>
      <c r="C3" s="52" t="s">
        <v>22</v>
      </c>
      <c r="D3" s="51" t="s">
        <v>23</v>
      </c>
      <c r="E3" s="408" t="s">
        <v>175</v>
      </c>
      <c r="F3" s="409"/>
      <c r="G3" s="409"/>
      <c r="H3" s="410"/>
      <c r="I3" s="411" t="s">
        <v>176</v>
      </c>
      <c r="J3" s="412"/>
      <c r="K3" s="412"/>
      <c r="L3" s="413"/>
      <c r="M3" s="67"/>
      <c r="N3" s="81" t="s">
        <v>236</v>
      </c>
      <c r="O3" s="81"/>
    </row>
    <row r="4" spans="1:15" s="108" customFormat="1" ht="30" customHeight="1">
      <c r="A4" s="126"/>
      <c r="B4" s="109" t="s">
        <v>194</v>
      </c>
      <c r="C4" s="110"/>
      <c r="D4" s="111"/>
      <c r="E4" s="95" t="s">
        <v>177</v>
      </c>
      <c r="F4" s="96" t="s">
        <v>207</v>
      </c>
      <c r="G4" s="96" t="s">
        <v>314</v>
      </c>
      <c r="H4" s="97" t="s">
        <v>315</v>
      </c>
      <c r="I4" s="98" t="s">
        <v>168</v>
      </c>
      <c r="J4" s="96" t="s">
        <v>206</v>
      </c>
      <c r="K4" s="96" t="s">
        <v>314</v>
      </c>
      <c r="L4" s="97" t="s">
        <v>315</v>
      </c>
      <c r="M4" s="112"/>
      <c r="N4" s="107"/>
      <c r="O4" s="107"/>
    </row>
    <row r="5" spans="1:15" s="45" customFormat="1">
      <c r="A5" s="125"/>
      <c r="B5" s="2" t="s">
        <v>548</v>
      </c>
      <c r="C5" s="50" t="s">
        <v>202</v>
      </c>
      <c r="D5" s="68" t="s">
        <v>11</v>
      </c>
      <c r="E5" s="57" t="s">
        <v>152</v>
      </c>
      <c r="F5" s="48" t="s">
        <v>387</v>
      </c>
      <c r="G5" s="48" t="s">
        <v>205</v>
      </c>
      <c r="H5" s="68" t="s">
        <v>316</v>
      </c>
      <c r="I5" s="76" t="s">
        <v>151</v>
      </c>
      <c r="J5" s="56" t="s">
        <v>153</v>
      </c>
      <c r="K5" s="56" t="s">
        <v>317</v>
      </c>
      <c r="L5" s="77" t="s">
        <v>203</v>
      </c>
      <c r="M5" s="59" t="s">
        <v>482</v>
      </c>
      <c r="N5" s="83"/>
      <c r="O5" s="81"/>
    </row>
    <row r="6" spans="1:15" s="108" customFormat="1">
      <c r="A6" s="126"/>
      <c r="B6" s="99" t="s">
        <v>193</v>
      </c>
      <c r="C6" s="100"/>
      <c r="D6" s="101"/>
      <c r="E6" s="102"/>
      <c r="F6" s="103"/>
      <c r="G6" s="103"/>
      <c r="H6" s="104"/>
      <c r="I6" s="102"/>
      <c r="J6" s="103"/>
      <c r="K6" s="103"/>
      <c r="L6" s="105"/>
      <c r="M6" s="106"/>
      <c r="N6" s="107"/>
      <c r="O6" s="107"/>
    </row>
    <row r="7" spans="1:15">
      <c r="B7" s="60" t="s">
        <v>178</v>
      </c>
      <c r="C7" s="50" t="s">
        <v>154</v>
      </c>
      <c r="D7" s="54" t="s">
        <v>154</v>
      </c>
      <c r="E7" s="57" t="s">
        <v>156</v>
      </c>
      <c r="F7" s="48"/>
      <c r="G7" s="48" t="s">
        <v>157</v>
      </c>
      <c r="H7" s="78"/>
      <c r="I7" s="76" t="s">
        <v>3</v>
      </c>
      <c r="J7" s="56" t="s">
        <v>155</v>
      </c>
      <c r="K7" s="56"/>
      <c r="L7" s="77"/>
      <c r="M7" s="59" t="s">
        <v>185</v>
      </c>
      <c r="N7" s="85" t="s">
        <v>236</v>
      </c>
      <c r="O7" s="82"/>
    </row>
    <row r="8" spans="1:15" ht="13.5" customHeight="1">
      <c r="B8" s="60" t="s">
        <v>179</v>
      </c>
      <c r="C8" s="50" t="s">
        <v>154</v>
      </c>
      <c r="D8" s="54" t="s">
        <v>154</v>
      </c>
      <c r="E8" s="57" t="s">
        <v>159</v>
      </c>
      <c r="F8" s="48"/>
      <c r="G8" s="48" t="s">
        <v>160</v>
      </c>
      <c r="H8" s="78"/>
      <c r="I8" s="76" t="s">
        <v>158</v>
      </c>
      <c r="J8" s="56" t="s">
        <v>161</v>
      </c>
      <c r="K8" s="56"/>
      <c r="L8" s="77"/>
      <c r="M8" s="59" t="s">
        <v>186</v>
      </c>
      <c r="N8" s="82"/>
      <c r="O8" s="42" t="s">
        <v>546</v>
      </c>
    </row>
    <row r="9" spans="1:15">
      <c r="B9" s="60" t="s">
        <v>180</v>
      </c>
      <c r="C9" s="50" t="s">
        <v>154</v>
      </c>
      <c r="D9" s="54" t="s">
        <v>154</v>
      </c>
      <c r="E9" s="57" t="s">
        <v>163</v>
      </c>
      <c r="F9" s="48"/>
      <c r="G9" s="48" t="s">
        <v>164</v>
      </c>
      <c r="H9" s="78"/>
      <c r="I9" s="76" t="s">
        <v>162</v>
      </c>
      <c r="J9" s="56" t="s">
        <v>165</v>
      </c>
      <c r="K9" s="56"/>
      <c r="L9" s="77"/>
      <c r="M9" s="59" t="s">
        <v>180</v>
      </c>
      <c r="N9" s="82"/>
      <c r="O9" s="82"/>
    </row>
    <row r="10" spans="1:15">
      <c r="B10" s="60" t="s">
        <v>181</v>
      </c>
      <c r="C10" s="57" t="s">
        <v>154</v>
      </c>
      <c r="D10" s="54" t="s">
        <v>154</v>
      </c>
      <c r="E10" s="57" t="s">
        <v>163</v>
      </c>
      <c r="F10" s="48"/>
      <c r="G10" s="48" t="s">
        <v>163</v>
      </c>
      <c r="H10" s="78"/>
      <c r="I10" s="76" t="s">
        <v>162</v>
      </c>
      <c r="J10" s="56" t="s">
        <v>165</v>
      </c>
      <c r="K10" s="56"/>
      <c r="L10" s="77"/>
      <c r="M10" s="59" t="s">
        <v>182</v>
      </c>
      <c r="N10" s="84"/>
      <c r="O10" s="82"/>
    </row>
    <row r="11" spans="1:15">
      <c r="B11" s="60" t="s">
        <v>190</v>
      </c>
      <c r="C11" s="57" t="s">
        <v>154</v>
      </c>
      <c r="D11" s="54" t="s">
        <v>154</v>
      </c>
      <c r="E11" s="57" t="s">
        <v>172</v>
      </c>
      <c r="F11" s="48"/>
      <c r="G11" s="48" t="s">
        <v>172</v>
      </c>
      <c r="H11" s="78"/>
      <c r="I11" s="76" t="s">
        <v>171</v>
      </c>
      <c r="J11" s="56" t="s">
        <v>173</v>
      </c>
      <c r="K11" s="56"/>
      <c r="L11" s="77"/>
      <c r="M11" s="59" t="s">
        <v>183</v>
      </c>
      <c r="N11" s="84"/>
      <c r="O11" s="82"/>
    </row>
    <row r="12" spans="1:15">
      <c r="B12" s="60" t="s">
        <v>249</v>
      </c>
      <c r="C12" s="57"/>
      <c r="D12" s="54"/>
      <c r="E12" s="57" t="s">
        <v>251</v>
      </c>
      <c r="F12" s="48"/>
      <c r="G12" s="48" t="s">
        <v>250</v>
      </c>
      <c r="H12" s="78"/>
      <c r="I12" s="76" t="s">
        <v>253</v>
      </c>
      <c r="J12" s="56"/>
      <c r="K12" s="56"/>
      <c r="L12" s="77"/>
      <c r="M12" s="59"/>
      <c r="N12" s="84"/>
      <c r="O12" s="82"/>
    </row>
    <row r="13" spans="1:15" ht="25.5">
      <c r="B13" s="60" t="s">
        <v>256</v>
      </c>
      <c r="C13" s="57"/>
      <c r="D13" s="54"/>
      <c r="E13" s="57" t="s">
        <v>255</v>
      </c>
      <c r="F13" s="48"/>
      <c r="G13" s="48"/>
      <c r="H13" s="78"/>
      <c r="I13" s="76" t="s">
        <v>254</v>
      </c>
      <c r="J13" s="56"/>
      <c r="K13" s="56"/>
      <c r="L13" s="77"/>
      <c r="M13" s="59"/>
      <c r="N13" s="84"/>
      <c r="O13" s="82"/>
    </row>
    <row r="14" spans="1:15" s="108" customFormat="1">
      <c r="A14" s="126"/>
      <c r="B14" s="113" t="s">
        <v>192</v>
      </c>
      <c r="C14" s="114"/>
      <c r="D14" s="101"/>
      <c r="E14" s="115"/>
      <c r="F14" s="116"/>
      <c r="G14" s="116"/>
      <c r="H14" s="104"/>
      <c r="I14" s="100"/>
      <c r="J14" s="117"/>
      <c r="K14" s="117"/>
      <c r="L14" s="104"/>
      <c r="M14" s="118"/>
      <c r="N14" s="107"/>
      <c r="O14" s="107"/>
    </row>
    <row r="15" spans="1:15">
      <c r="B15" s="2" t="s">
        <v>189</v>
      </c>
      <c r="C15" s="57" t="s">
        <v>191</v>
      </c>
      <c r="D15" s="69"/>
      <c r="E15" s="50" t="s">
        <v>163</v>
      </c>
      <c r="F15" s="48" t="s">
        <v>163</v>
      </c>
      <c r="G15" s="48"/>
      <c r="H15" s="78"/>
      <c r="I15" s="55" t="s">
        <v>184</v>
      </c>
      <c r="J15" s="53" t="s">
        <v>184</v>
      </c>
      <c r="K15" s="53"/>
      <c r="L15" s="78"/>
      <c r="M15" s="59" t="s">
        <v>187</v>
      </c>
      <c r="N15" s="86" t="s">
        <v>238</v>
      </c>
      <c r="O15" s="82"/>
    </row>
    <row r="16" spans="1:15">
      <c r="B16" s="2" t="s">
        <v>319</v>
      </c>
      <c r="C16" s="57" t="s">
        <v>320</v>
      </c>
      <c r="D16" s="69"/>
      <c r="E16" s="50" t="s">
        <v>321</v>
      </c>
      <c r="F16" s="48" t="s">
        <v>331</v>
      </c>
      <c r="G16" s="48" t="s">
        <v>331</v>
      </c>
      <c r="H16" s="68" t="s">
        <v>323</v>
      </c>
      <c r="I16" s="55" t="s">
        <v>322</v>
      </c>
      <c r="J16" s="53" t="s">
        <v>331</v>
      </c>
      <c r="K16" s="53" t="s">
        <v>331</v>
      </c>
      <c r="L16" s="68" t="s">
        <v>332</v>
      </c>
      <c r="M16" s="59"/>
      <c r="N16" s="86"/>
      <c r="O16" s="82"/>
    </row>
    <row r="17" spans="1:15" s="108" customFormat="1">
      <c r="A17" s="126"/>
      <c r="B17" s="113" t="s">
        <v>196</v>
      </c>
      <c r="C17" s="115"/>
      <c r="D17" s="101"/>
      <c r="E17" s="115"/>
      <c r="F17" s="119"/>
      <c r="G17" s="119"/>
      <c r="H17" s="104"/>
      <c r="I17" s="100"/>
      <c r="J17" s="117"/>
      <c r="K17" s="117"/>
      <c r="L17" s="104"/>
      <c r="M17" s="118"/>
      <c r="N17" s="107"/>
      <c r="O17" s="107"/>
    </row>
    <row r="18" spans="1:15">
      <c r="B18" s="2" t="s">
        <v>324</v>
      </c>
      <c r="C18" s="50" t="s">
        <v>329</v>
      </c>
      <c r="D18" s="69"/>
      <c r="E18" s="50" t="s">
        <v>326</v>
      </c>
      <c r="F18" s="47" t="s">
        <v>325</v>
      </c>
      <c r="G18" s="47"/>
      <c r="H18" s="78"/>
      <c r="I18" s="55" t="s">
        <v>327</v>
      </c>
      <c r="J18" s="53" t="s">
        <v>328</v>
      </c>
      <c r="K18" s="79"/>
      <c r="L18" s="68" t="s">
        <v>330</v>
      </c>
      <c r="M18" s="1"/>
      <c r="N18" s="82"/>
      <c r="O18" s="82"/>
    </row>
    <row r="19" spans="1:15" ht="26.25" thickBot="1">
      <c r="B19" s="61" t="s">
        <v>13</v>
      </c>
      <c r="C19" s="62" t="s">
        <v>12</v>
      </c>
      <c r="D19" s="64" t="s">
        <v>170</v>
      </c>
      <c r="E19" s="74" t="s">
        <v>14</v>
      </c>
      <c r="F19" s="63" t="s">
        <v>252</v>
      </c>
      <c r="G19" s="63" t="s">
        <v>204</v>
      </c>
      <c r="H19" s="75"/>
      <c r="I19" s="74" t="s">
        <v>166</v>
      </c>
      <c r="J19" s="63" t="s">
        <v>167</v>
      </c>
      <c r="K19" s="63" t="s">
        <v>388</v>
      </c>
      <c r="L19" s="75" t="s">
        <v>389</v>
      </c>
      <c r="M19" s="65" t="s">
        <v>188</v>
      </c>
      <c r="N19" s="82"/>
      <c r="O19" s="82"/>
    </row>
    <row r="20" spans="1:15" s="108" customFormat="1">
      <c r="A20" s="126"/>
      <c r="B20" s="109" t="s">
        <v>195</v>
      </c>
      <c r="C20" s="120"/>
      <c r="D20" s="111"/>
      <c r="E20" s="120"/>
      <c r="F20" s="121"/>
      <c r="G20" s="121"/>
      <c r="H20" s="122"/>
      <c r="I20" s="120"/>
      <c r="J20" s="121"/>
      <c r="K20" s="121"/>
      <c r="L20" s="123"/>
      <c r="M20" s="124"/>
      <c r="N20" s="107" t="s">
        <v>237</v>
      </c>
      <c r="O20" s="107"/>
    </row>
    <row r="21" spans="1:15" ht="26.25" thickBot="1">
      <c r="B21" s="61" t="s">
        <v>197</v>
      </c>
      <c r="C21" s="73" t="s">
        <v>201</v>
      </c>
      <c r="D21" s="70"/>
      <c r="E21" s="71"/>
      <c r="F21" s="58" t="s">
        <v>198</v>
      </c>
      <c r="G21" s="58"/>
      <c r="H21" s="94" t="s">
        <v>318</v>
      </c>
      <c r="I21" s="71" t="s">
        <v>199</v>
      </c>
      <c r="J21" s="58"/>
      <c r="K21" s="58"/>
      <c r="L21" s="49"/>
      <c r="M21" s="72" t="s">
        <v>200</v>
      </c>
    </row>
    <row r="36" spans="2:4">
      <c r="C36" s="89" t="s">
        <v>288</v>
      </c>
    </row>
    <row r="37" spans="2:4">
      <c r="B37" t="s">
        <v>281</v>
      </c>
      <c r="C37" s="42" t="s">
        <v>289</v>
      </c>
      <c r="D37" s="43" t="s">
        <v>292</v>
      </c>
    </row>
    <row r="38" spans="2:4">
      <c r="B38" t="s">
        <v>283</v>
      </c>
      <c r="C38" s="42" t="s">
        <v>290</v>
      </c>
      <c r="D38" s="43" t="s">
        <v>292</v>
      </c>
    </row>
    <row r="39" spans="2:4">
      <c r="B39" t="s">
        <v>282</v>
      </c>
      <c r="C39" t="s">
        <v>549</v>
      </c>
      <c r="D39" s="43" t="s">
        <v>292</v>
      </c>
    </row>
    <row r="40" spans="2:4">
      <c r="B40" s="42" t="s">
        <v>294</v>
      </c>
      <c r="C40" s="42" t="s">
        <v>291</v>
      </c>
      <c r="D40" s="43" t="s">
        <v>292</v>
      </c>
    </row>
    <row r="41" spans="2:4">
      <c r="B41" t="s">
        <v>284</v>
      </c>
      <c r="D41" s="43" t="s">
        <v>293</v>
      </c>
    </row>
    <row r="42" spans="2:4">
      <c r="B42" t="s">
        <v>285</v>
      </c>
      <c r="D42" s="43" t="s">
        <v>293</v>
      </c>
    </row>
    <row r="43" spans="2:4">
      <c r="B43" t="s">
        <v>286</v>
      </c>
      <c r="D43" s="43" t="s">
        <v>293</v>
      </c>
    </row>
    <row r="44" spans="2:4">
      <c r="B44" t="s">
        <v>287</v>
      </c>
      <c r="D44" s="43" t="s">
        <v>293</v>
      </c>
    </row>
  </sheetData>
  <mergeCells count="5">
    <mergeCell ref="C2:D2"/>
    <mergeCell ref="E3:H3"/>
    <mergeCell ref="I3:L3"/>
    <mergeCell ref="E2:L2"/>
    <mergeCell ref="B2:B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3"/>
  <dimension ref="B2:K42"/>
  <sheetViews>
    <sheetView workbookViewId="0">
      <selection activeCell="H29" sqref="H29"/>
    </sheetView>
  </sheetViews>
  <sheetFormatPr defaultRowHeight="12.75"/>
  <cols>
    <col min="1" max="1" width="9.140625" style="5"/>
    <col min="2" max="2" width="13.85546875" style="5" customWidth="1"/>
    <col min="3" max="3" width="17.85546875" style="5" bestFit="1" customWidth="1"/>
    <col min="4" max="4" width="12" style="5" bestFit="1" customWidth="1"/>
    <col min="5" max="5" width="5.28515625" style="5" customWidth="1"/>
    <col min="6" max="6" width="13.7109375" style="19" bestFit="1" customWidth="1"/>
    <col min="7" max="7" width="9.140625" style="5"/>
    <col min="8" max="8" width="22.5703125" style="19" bestFit="1" customWidth="1"/>
    <col min="9" max="9" width="11" style="5" customWidth="1"/>
    <col min="10" max="10" width="17.85546875" style="5" bestFit="1" customWidth="1"/>
    <col min="11" max="16384" width="9.140625" style="5"/>
  </cols>
  <sheetData>
    <row r="2" spans="2:11" ht="21" thickBot="1">
      <c r="B2" s="257" t="s">
        <v>1019</v>
      </c>
    </row>
    <row r="3" spans="2:11" s="20" customFormat="1" ht="33" customHeight="1" thickBot="1">
      <c r="B3" s="258" t="s">
        <v>35</v>
      </c>
      <c r="C3" s="259" t="s">
        <v>36</v>
      </c>
      <c r="D3" s="259" t="s">
        <v>37</v>
      </c>
      <c r="E3" s="259"/>
      <c r="F3" s="260" t="s">
        <v>38</v>
      </c>
      <c r="G3" s="259"/>
      <c r="H3" s="260"/>
      <c r="I3" s="259"/>
      <c r="J3" s="259"/>
      <c r="K3" s="261"/>
    </row>
    <row r="4" spans="2:11">
      <c r="B4" s="5" t="s">
        <v>7</v>
      </c>
      <c r="C4" s="12" t="s">
        <v>482</v>
      </c>
      <c r="D4" s="278" t="str">
        <f>Quality&amp;"-XXX-"&amp;Thing.</f>
        <v>fu-XXX-n</v>
      </c>
      <c r="F4" s="21" t="s">
        <v>1031</v>
      </c>
      <c r="G4" s="278" t="str">
        <f>Female&amp;Thing.</f>
        <v>zin</v>
      </c>
      <c r="H4" s="21" t="s">
        <v>1030</v>
      </c>
      <c r="I4" s="278" t="e">
        <f>Female&amp;Quality.</f>
        <v>#NAME?</v>
      </c>
      <c r="J4" s="21" t="s">
        <v>1029</v>
      </c>
      <c r="K4" s="278" t="str">
        <f>Quality&amp;Female&amp;Thing.</f>
        <v>fuzin</v>
      </c>
    </row>
    <row r="5" spans="2:11">
      <c r="B5" s="5" t="s">
        <v>8</v>
      </c>
      <c r="C5" s="5" t="s">
        <v>9</v>
      </c>
      <c r="D5" s="278" t="str">
        <f>Action&amp;"-XXX-"&amp;Thing.</f>
        <v>re-XXX-n</v>
      </c>
      <c r="F5" s="21" t="s">
        <v>1032</v>
      </c>
      <c r="G5" s="278" t="str">
        <f>Question&amp;Thing.</f>
        <v>xin</v>
      </c>
      <c r="H5" s="21" t="s">
        <v>1017</v>
      </c>
      <c r="I5" s="278" t="str">
        <f>Action&amp;Question&amp;Thing.</f>
        <v>rexin</v>
      </c>
      <c r="K5" s="278"/>
    </row>
    <row r="6" spans="2:11">
      <c r="B6" s="12" t="s">
        <v>10</v>
      </c>
      <c r="C6" s="12" t="s">
        <v>6</v>
      </c>
      <c r="D6" s="278" t="str">
        <f>Space&amp;"-XXX-"&amp;Thing.</f>
        <v>la-XXX-n</v>
      </c>
      <c r="G6" s="278"/>
      <c r="I6" s="278"/>
      <c r="K6" s="278"/>
    </row>
    <row r="7" spans="2:11">
      <c r="B7" s="12" t="s">
        <v>16</v>
      </c>
      <c r="C7" s="12" t="s">
        <v>15</v>
      </c>
      <c r="D7" s="278" t="str">
        <f>Thing&amp;Origin&amp;"-XXX-"&amp;Thing.</f>
        <v>netu-XXX-n</v>
      </c>
      <c r="G7" s="278"/>
      <c r="I7" s="278"/>
      <c r="K7" s="278"/>
    </row>
    <row r="8" spans="2:11">
      <c r="B8" s="12" t="s">
        <v>16</v>
      </c>
      <c r="C8" s="12" t="s">
        <v>17</v>
      </c>
      <c r="D8" s="278" t="str">
        <f>Inversion&amp;Power&amp;"-XXX-"&amp;Thing.</f>
        <v>paro-XXX-n</v>
      </c>
      <c r="G8" s="278"/>
      <c r="I8" s="278"/>
      <c r="K8" s="278"/>
    </row>
    <row r="9" spans="2:11">
      <c r="B9" s="12" t="s">
        <v>21</v>
      </c>
      <c r="C9" s="12" t="s">
        <v>18</v>
      </c>
      <c r="D9" s="278" t="str">
        <f>Value&amp;"-XXX-"&amp;Thing.</f>
        <v>bu-XXX-n</v>
      </c>
      <c r="G9" s="278"/>
      <c r="I9" s="278"/>
      <c r="K9" s="278"/>
    </row>
    <row r="10" spans="2:11">
      <c r="B10" s="12" t="s">
        <v>20</v>
      </c>
      <c r="C10" s="12" t="s">
        <v>19</v>
      </c>
      <c r="D10" s="278" t="str">
        <f>Power&amp;Existence&amp;"-XXX-"&amp;Thing.</f>
        <v>rodi-XXX-n</v>
      </c>
      <c r="G10" s="278"/>
      <c r="I10" s="278"/>
      <c r="K10" s="278"/>
    </row>
    <row r="11" spans="2:11">
      <c r="B11" s="5" t="s">
        <v>24</v>
      </c>
      <c r="C11" s="12" t="s">
        <v>295</v>
      </c>
      <c r="D11" s="278" t="str">
        <f>Element&amp;"-XXX-"&amp;Thing.</f>
        <v>we-XXX-n</v>
      </c>
      <c r="G11" s="278"/>
      <c r="I11" s="278"/>
      <c r="K11" s="278"/>
    </row>
    <row r="12" spans="2:11">
      <c r="B12" s="12" t="s">
        <v>34</v>
      </c>
      <c r="C12" s="12" t="s">
        <v>785</v>
      </c>
      <c r="D12" s="278" t="str">
        <f>Group&amp;"-XXX-"&amp;Thing.</f>
        <v>ye-XXX-n</v>
      </c>
      <c r="G12" s="278"/>
      <c r="I12" s="278"/>
      <c r="K12" s="278"/>
    </row>
    <row r="13" spans="2:11">
      <c r="C13" s="12" t="s">
        <v>39</v>
      </c>
      <c r="D13" s="278" t="str">
        <f>Whole&amp;"-XXX-"&amp;Thing.</f>
        <v>wi-XXX-n</v>
      </c>
      <c r="G13" s="278"/>
      <c r="I13" s="278"/>
      <c r="K13" s="278"/>
    </row>
    <row r="14" spans="2:11">
      <c r="B14" s="12" t="s">
        <v>1016</v>
      </c>
      <c r="C14" s="12" t="s">
        <v>1020</v>
      </c>
      <c r="D14" s="278" t="str">
        <f>Trend&amp;"-XXX-"&amp;Thing.</f>
        <v>se-XXX-n</v>
      </c>
      <c r="F14" s="21" t="s">
        <v>1023</v>
      </c>
      <c r="G14" s="278" t="str">
        <f>Magnitude&amp;Thing.</f>
        <v>yin</v>
      </c>
      <c r="H14" s="21" t="s">
        <v>1021</v>
      </c>
      <c r="I14" s="278" t="str">
        <f>Magnitude&amp;Property.</f>
        <v>yif</v>
      </c>
      <c r="J14" s="21" t="s">
        <v>1022</v>
      </c>
      <c r="K14" s="278" t="str">
        <f>Trend&amp;Magnitude&amp;Action.</f>
        <v>seyir</v>
      </c>
    </row>
    <row r="15" spans="2:11">
      <c r="B15" s="12" t="s">
        <v>1018</v>
      </c>
      <c r="C15" s="12" t="s">
        <v>385</v>
      </c>
      <c r="D15" s="278" t="str">
        <f>Self&amp;Trend&amp;"-XXX-"&amp;Thing.</f>
        <v>wase-XXX-n</v>
      </c>
      <c r="G15" s="278"/>
      <c r="I15" s="278"/>
      <c r="K15" s="278"/>
    </row>
    <row r="16" spans="2:11">
      <c r="D16" s="278"/>
      <c r="G16" s="278"/>
      <c r="I16" s="278"/>
      <c r="K16" s="278"/>
    </row>
    <row r="17" spans="2:11">
      <c r="B17" s="12" t="s">
        <v>120</v>
      </c>
      <c r="C17" s="12" t="s">
        <v>221</v>
      </c>
      <c r="D17" s="278" t="str">
        <f>"XXX-"&amp;Thing.</f>
        <v>XXX-n</v>
      </c>
      <c r="G17" s="278"/>
      <c r="I17" s="278"/>
    </row>
    <row r="18" spans="2:11">
      <c r="B18" s="12" t="s">
        <v>121</v>
      </c>
      <c r="C18" s="12" t="s">
        <v>222</v>
      </c>
      <c r="D18" s="278" t="str">
        <f>Author&amp;"-XXX-"&amp;Thing.</f>
        <v>ra-XXX-n</v>
      </c>
      <c r="F18" s="21" t="s">
        <v>1024</v>
      </c>
      <c r="G18" s="278" t="str">
        <f>Action&amp;Action.</f>
        <v>rer</v>
      </c>
      <c r="H18" s="21" t="s">
        <v>1025</v>
      </c>
      <c r="I18" s="278" t="str">
        <f>Author&amp;Action&amp;Property.</f>
        <v>raref</v>
      </c>
      <c r="J18" s="21" t="s">
        <v>1027</v>
      </c>
      <c r="K18" s="278" t="str">
        <f>Author&amp;Action&amp;Thing.</f>
        <v>raren</v>
      </c>
    </row>
    <row r="19" spans="2:11">
      <c r="B19" s="12" t="s">
        <v>122</v>
      </c>
      <c r="C19" s="12" t="s">
        <v>223</v>
      </c>
      <c r="D19" s="278" t="str">
        <f>Objet&amp;"-XXX-"&amp;Thing.</f>
        <v>me-XXX-n</v>
      </c>
      <c r="F19" s="21" t="s">
        <v>1024</v>
      </c>
      <c r="G19" s="278" t="str">
        <f>Action&amp;Action.</f>
        <v>rer</v>
      </c>
      <c r="H19" s="21" t="s">
        <v>1026</v>
      </c>
      <c r="I19" s="278" t="str">
        <f>Objet&amp;Action&amp;Property.</f>
        <v>meref</v>
      </c>
      <c r="J19" s="21" t="s">
        <v>1028</v>
      </c>
      <c r="K19" s="278" t="str">
        <f>Objet&amp;Action&amp;Thing.</f>
        <v>meren</v>
      </c>
    </row>
    <row r="20" spans="2:11">
      <c r="B20" s="12" t="s">
        <v>123</v>
      </c>
      <c r="C20" s="5" t="s">
        <v>25</v>
      </c>
      <c r="D20" s="278" t="str">
        <f>"XXX-"&amp;Property.</f>
        <v>XXX-f</v>
      </c>
      <c r="G20" s="278"/>
      <c r="I20" s="278"/>
      <c r="K20" s="278"/>
    </row>
    <row r="21" spans="2:11">
      <c r="B21" s="12" t="s">
        <v>124</v>
      </c>
      <c r="C21" s="12" t="s">
        <v>28</v>
      </c>
      <c r="D21" s="278" t="str">
        <f>Author&amp;"-XXX-"&amp;Property.</f>
        <v>ra-XXX-f</v>
      </c>
      <c r="G21" s="278"/>
      <c r="I21" s="278"/>
      <c r="K21" s="278"/>
    </row>
    <row r="22" spans="2:11">
      <c r="B22" s="12" t="s">
        <v>125</v>
      </c>
      <c r="C22" s="12" t="s">
        <v>29</v>
      </c>
      <c r="D22" s="278" t="str">
        <f>Objet&amp;"-XXX-"&amp;Property.</f>
        <v>me-XXX-f</v>
      </c>
      <c r="G22" s="278"/>
      <c r="I22" s="278"/>
      <c r="K22" s="278"/>
    </row>
    <row r="23" spans="2:11">
      <c r="B23" s="12" t="s">
        <v>126</v>
      </c>
      <c r="C23" s="12" t="s">
        <v>219</v>
      </c>
      <c r="D23" s="278" t="str">
        <f>"XXX-"&amp;Action.</f>
        <v>XXX-r</v>
      </c>
      <c r="G23" s="278"/>
      <c r="I23" s="278"/>
      <c r="K23" s="278"/>
    </row>
    <row r="24" spans="2:11">
      <c r="B24" s="12" t="s">
        <v>127</v>
      </c>
      <c r="C24" s="5" t="s">
        <v>26</v>
      </c>
      <c r="D24" s="278" t="str">
        <f>"XXX-"&amp;Manner.</f>
        <v>XXX-v</v>
      </c>
      <c r="G24" s="278"/>
      <c r="I24" s="278"/>
      <c r="K24" s="278"/>
    </row>
    <row r="25" spans="2:11">
      <c r="B25" s="12" t="s">
        <v>276</v>
      </c>
      <c r="C25" s="12" t="s">
        <v>278</v>
      </c>
      <c r="D25" s="278" t="str">
        <f>"XXX-"&amp;Group.&amp;Thing.</f>
        <v>XXX-yn</v>
      </c>
      <c r="G25" s="278"/>
      <c r="I25" s="278"/>
      <c r="K25" s="278"/>
    </row>
    <row r="26" spans="2:11">
      <c r="B26" s="12" t="s">
        <v>277</v>
      </c>
      <c r="C26" s="12" t="s">
        <v>279</v>
      </c>
      <c r="D26" s="278" t="str">
        <f>"XXX-"&amp;Group.&amp;Property.</f>
        <v>XXX-yf</v>
      </c>
      <c r="G26" s="278"/>
      <c r="I26" s="278"/>
      <c r="K26" s="278"/>
    </row>
    <row r="27" spans="2:11">
      <c r="B27" s="12" t="s">
        <v>275</v>
      </c>
      <c r="C27" s="12" t="s">
        <v>220</v>
      </c>
      <c r="D27" s="278" t="str">
        <f>"XXX-"&amp;Objet.</f>
        <v>XXX-m</v>
      </c>
      <c r="G27" s="278"/>
      <c r="I27" s="278"/>
      <c r="K27" s="278"/>
    </row>
    <row r="28" spans="2:11">
      <c r="B28" s="12" t="s">
        <v>128</v>
      </c>
      <c r="C28" s="12" t="s">
        <v>30</v>
      </c>
      <c r="D28" s="278" t="str">
        <f>"XXX-"&amp;Time.</f>
        <v>XXX-l</v>
      </c>
      <c r="G28" s="278"/>
      <c r="I28" s="278"/>
    </row>
    <row r="29" spans="2:11">
      <c r="B29" s="12" t="s">
        <v>129</v>
      </c>
      <c r="C29" s="12" t="s">
        <v>32</v>
      </c>
      <c r="D29" s="278" t="str">
        <f>"XXX-"&amp;Trend.</f>
        <v>XXX-s</v>
      </c>
      <c r="G29" s="278"/>
    </row>
    <row r="30" spans="2:11">
      <c r="B30" s="12" t="s">
        <v>130</v>
      </c>
      <c r="C30" s="12" t="s">
        <v>31</v>
      </c>
      <c r="D30" s="278" t="str">
        <f>"XXX-"&amp;Past.</f>
        <v>XXX-c</v>
      </c>
    </row>
    <row r="31" spans="2:11">
      <c r="B31" s="12" t="s">
        <v>131</v>
      </c>
      <c r="C31" s="12" t="s">
        <v>5</v>
      </c>
      <c r="D31" s="278" t="str">
        <f>"XXX-"&amp;Condition.</f>
        <v>XXX-x</v>
      </c>
    </row>
    <row r="32" spans="2:11">
      <c r="B32" s="12"/>
      <c r="C32" s="12" t="s">
        <v>32</v>
      </c>
      <c r="D32" s="278" t="str">
        <f>"XXX-"&amp;Trend&amp;Condition.</f>
        <v>XXX-sex</v>
      </c>
    </row>
    <row r="33" spans="2:7">
      <c r="B33" s="12"/>
      <c r="C33" s="12" t="s">
        <v>31</v>
      </c>
      <c r="D33" s="278" t="str">
        <f>"XXX-"&amp;Past&amp;Condition.</f>
        <v>XXX-cex</v>
      </c>
    </row>
    <row r="34" spans="2:7">
      <c r="B34" s="12" t="s">
        <v>132</v>
      </c>
      <c r="C34" s="12" t="s">
        <v>33</v>
      </c>
      <c r="D34" s="278" t="str">
        <f>"XXX-"&amp;Will.</f>
        <v>XXX-z</v>
      </c>
    </row>
    <row r="35" spans="2:7">
      <c r="B35" s="12"/>
      <c r="C35" s="12"/>
      <c r="D35" s="278"/>
    </row>
    <row r="41" spans="2:7">
      <c r="B41" s="5" t="s">
        <v>89</v>
      </c>
      <c r="F41" s="19" t="s">
        <v>90</v>
      </c>
      <c r="G41" s="5" t="str">
        <f>Element&amp;Will&amp;Thing.</f>
        <v>wezen</v>
      </c>
    </row>
    <row r="42" spans="2:7">
      <c r="B42" s="5" t="s">
        <v>92</v>
      </c>
      <c r="F42" s="19" t="s">
        <v>91</v>
      </c>
      <c r="G42" s="5" t="str">
        <f>Existence&amp;" "&amp;Element&amp;Will&amp;Thing.</f>
        <v>di wezen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theme="1"/>
  </sheetPr>
  <dimension ref="A1:W299"/>
  <sheetViews>
    <sheetView zoomScale="115" zoomScaleNormal="115" workbookViewId="0">
      <selection activeCell="S5" sqref="S5:T5"/>
    </sheetView>
  </sheetViews>
  <sheetFormatPr defaultRowHeight="14.25"/>
  <cols>
    <col min="1" max="1" width="3.140625" style="5" customWidth="1"/>
    <col min="2" max="2" width="1.7109375" style="5" customWidth="1"/>
    <col min="3" max="3" width="3" style="35" customWidth="1"/>
    <col min="4" max="4" width="10.7109375" style="5" bestFit="1" customWidth="1"/>
    <col min="5" max="5" width="10.7109375" style="5" customWidth="1"/>
    <col min="6" max="6" width="10.42578125" style="5" bestFit="1" customWidth="1"/>
    <col min="7" max="7" width="2.5703125" style="5" customWidth="1"/>
    <col min="8" max="8" width="13.7109375" style="5" bestFit="1" customWidth="1"/>
    <col min="9" max="9" width="11.28515625" style="5" bestFit="1" customWidth="1"/>
    <col min="10" max="11" width="10.7109375" style="5" customWidth="1"/>
    <col min="12" max="12" width="2.5703125" style="5" customWidth="1"/>
    <col min="13" max="13" width="9.85546875" style="5" customWidth="1"/>
    <col min="14" max="14" width="10.42578125" style="5" customWidth="1"/>
    <col min="15" max="15" width="2.5703125" style="5" customWidth="1"/>
    <col min="16" max="16" width="9.5703125" style="5" customWidth="1"/>
    <col min="17" max="17" width="2.7109375" style="5" customWidth="1"/>
    <col min="18" max="18" width="4.28515625" style="5" customWidth="1"/>
    <col min="19" max="19" width="14.28515625" style="131" customWidth="1"/>
    <col min="20" max="20" width="3.28515625" style="137" customWidth="1"/>
    <col min="21" max="21" width="6" style="286" customWidth="1"/>
    <col min="22" max="23" width="2" style="5" bestFit="1" customWidth="1"/>
    <col min="24" max="16384" width="9.140625" style="5"/>
  </cols>
  <sheetData>
    <row r="1" spans="1:23" ht="13.5" thickBot="1">
      <c r="A1" s="370" t="str">
        <f>COUNTA(D4:P4,D6:P6,D8:P8,D10:P10,D12:P12,D16:P16,D18:P18,D20:P20,D22:P22,D24:P24)&amp;"/100"</f>
        <v>65/100</v>
      </c>
      <c r="B1" s="370"/>
      <c r="C1" s="370"/>
      <c r="S1" s="5"/>
      <c r="T1" s="5"/>
      <c r="V1" s="12"/>
      <c r="W1" s="12"/>
    </row>
    <row r="2" spans="1:23" s="35" customFormat="1" ht="12.75" customHeight="1" thickBot="1">
      <c r="C2" s="36"/>
      <c r="D2" s="37" t="s">
        <v>140</v>
      </c>
      <c r="E2" s="38" t="s">
        <v>141</v>
      </c>
      <c r="F2" s="39" t="s">
        <v>142</v>
      </c>
      <c r="H2" s="39" t="s">
        <v>143</v>
      </c>
      <c r="I2" s="38" t="s">
        <v>114</v>
      </c>
      <c r="J2" s="39" t="s">
        <v>995</v>
      </c>
      <c r="K2" s="39" t="s">
        <v>154</v>
      </c>
      <c r="M2" s="39" t="s">
        <v>27</v>
      </c>
      <c r="N2" s="39" t="s">
        <v>119</v>
      </c>
      <c r="P2" s="39" t="s">
        <v>139</v>
      </c>
      <c r="R2" s="371" t="s">
        <v>544</v>
      </c>
      <c r="S2" s="371"/>
      <c r="T2" s="371"/>
      <c r="U2" s="287"/>
      <c r="V2" s="157"/>
      <c r="W2" s="157"/>
    </row>
    <row r="3" spans="1:23" ht="12.75" customHeight="1">
      <c r="C3" s="368" t="s">
        <v>134</v>
      </c>
      <c r="D3" s="31" t="str">
        <f>D$2&amp;$C3</f>
        <v>pa</v>
      </c>
      <c r="E3" s="4" t="str">
        <f>E$2&amp;$C3</f>
        <v>ta</v>
      </c>
      <c r="F3" s="252" t="str">
        <f>F$2&amp;$C3</f>
        <v>ka</v>
      </c>
      <c r="H3" s="4" t="str">
        <f>H$2&amp;$C3</f>
        <v>fa</v>
      </c>
      <c r="I3" s="29" t="str">
        <f>I$2&amp;$C3</f>
        <v>sa</v>
      </c>
      <c r="J3" s="29" t="str">
        <f>J$2&amp;$C3</f>
        <v>ca</v>
      </c>
      <c r="K3" s="29" t="str">
        <f>K$2&amp;$C3</f>
        <v>xa</v>
      </c>
      <c r="M3" s="3" t="str">
        <f>M$2&amp;$C3</f>
        <v>na</v>
      </c>
      <c r="N3" s="32" t="str">
        <f>N$2&amp;$C3</f>
        <v>ya</v>
      </c>
      <c r="P3" s="4" t="str">
        <f>P$2&amp;$C3</f>
        <v>ha</v>
      </c>
      <c r="R3" s="371"/>
      <c r="S3" s="371"/>
      <c r="T3" s="371"/>
      <c r="U3" s="286" t="str">
        <f>V3&amp;W3</f>
        <v>25</v>
      </c>
      <c r="V3" s="5">
        <v>2</v>
      </c>
      <c r="W3" s="5">
        <v>5</v>
      </c>
    </row>
    <row r="4" spans="1:23" ht="12.75" customHeight="1" thickBot="1">
      <c r="C4" s="369"/>
      <c r="D4" s="267" t="s">
        <v>980</v>
      </c>
      <c r="E4" s="92"/>
      <c r="F4" s="253" t="s">
        <v>646</v>
      </c>
      <c r="H4" s="92"/>
      <c r="I4" s="27" t="s">
        <v>1258</v>
      </c>
      <c r="J4" s="27" t="s">
        <v>1060</v>
      </c>
      <c r="K4" s="26" t="s">
        <v>966</v>
      </c>
      <c r="M4" s="93" t="s">
        <v>4</v>
      </c>
      <c r="N4" s="33" t="s">
        <v>1110</v>
      </c>
      <c r="P4" s="92"/>
      <c r="R4" s="371"/>
      <c r="S4" s="371"/>
      <c r="T4" s="371"/>
      <c r="U4" s="286" t="str">
        <f t="shared" ref="U4:U67" si="0">V4&amp;W4</f>
        <v>29</v>
      </c>
      <c r="V4" s="5">
        <v>2</v>
      </c>
      <c r="W4" s="5">
        <v>9</v>
      </c>
    </row>
    <row r="5" spans="1:23" ht="12.75" customHeight="1">
      <c r="C5" s="368" t="s">
        <v>136</v>
      </c>
      <c r="D5" s="17" t="str">
        <f>D$2&amp;$C5</f>
        <v>po</v>
      </c>
      <c r="E5" s="4" t="str">
        <f>E$2&amp;$C5</f>
        <v>to</v>
      </c>
      <c r="F5" s="4" t="str">
        <f>F$2&amp;$C5</f>
        <v>ko</v>
      </c>
      <c r="H5" s="4" t="str">
        <f>H$2&amp;$C5</f>
        <v>fo</v>
      </c>
      <c r="I5" s="29" t="str">
        <f>I$2&amp;$C17</f>
        <v>so</v>
      </c>
      <c r="J5" s="29" t="str">
        <f>J$2&amp;$C5</f>
        <v>co</v>
      </c>
      <c r="K5" s="25" t="str">
        <f>K$2&amp;$C5</f>
        <v>xo</v>
      </c>
      <c r="M5" s="29" t="str">
        <f>M$2&amp;$C17</f>
        <v>no</v>
      </c>
      <c r="N5" s="32" t="str">
        <f>N$2&amp;$C5</f>
        <v>yo</v>
      </c>
      <c r="P5" s="4" t="str">
        <f>P$2&amp;$C5</f>
        <v>ho</v>
      </c>
      <c r="S5" s="131" t="str">
        <f>Radicals!D4</f>
        <v>Inversion</v>
      </c>
      <c r="T5" s="134" t="str">
        <f>Radicals!D3</f>
        <v>pa</v>
      </c>
      <c r="U5" s="286" t="str">
        <f t="shared" si="0"/>
        <v>23</v>
      </c>
      <c r="V5" s="5">
        <v>2</v>
      </c>
      <c r="W5" s="5">
        <v>3</v>
      </c>
    </row>
    <row r="6" spans="1:23" ht="12.75" customHeight="1" thickBot="1">
      <c r="C6" s="369"/>
      <c r="D6" s="128" t="s">
        <v>487</v>
      </c>
      <c r="E6" s="92"/>
      <c r="F6" s="92"/>
      <c r="H6" s="92"/>
      <c r="I6" s="26" t="s">
        <v>490</v>
      </c>
      <c r="J6" s="27" t="s">
        <v>1057</v>
      </c>
      <c r="K6" s="26" t="s">
        <v>494</v>
      </c>
      <c r="M6" s="27" t="s">
        <v>488</v>
      </c>
      <c r="N6" s="33" t="s">
        <v>547</v>
      </c>
      <c r="P6" s="92"/>
      <c r="S6" s="131" t="str">
        <f>Radicals!D6</f>
        <v>Negation</v>
      </c>
      <c r="T6" s="134" t="str">
        <f>Radicals!D5</f>
        <v>po</v>
      </c>
      <c r="U6" s="286" t="str">
        <f t="shared" si="0"/>
        <v>27</v>
      </c>
      <c r="V6" s="5">
        <v>2</v>
      </c>
      <c r="W6" s="5">
        <v>7</v>
      </c>
    </row>
    <row r="7" spans="1:23" ht="12.75" customHeight="1">
      <c r="C7" s="368" t="s">
        <v>135</v>
      </c>
      <c r="D7" s="29" t="str">
        <f>D$2&amp;$C7</f>
        <v>pi</v>
      </c>
      <c r="E7" s="29" t="str">
        <f>E$2&amp;$C7</f>
        <v>ti</v>
      </c>
      <c r="F7" s="4" t="str">
        <f>F$2&amp;$C7</f>
        <v>ki</v>
      </c>
      <c r="H7" s="25" t="str">
        <f>H$2&amp;$C7</f>
        <v>fi</v>
      </c>
      <c r="I7" s="29" t="str">
        <f>I$2&amp;$C7</f>
        <v>si</v>
      </c>
      <c r="J7" s="29" t="str">
        <f>J$2&amp;$C7</f>
        <v>ci</v>
      </c>
      <c r="K7" s="22" t="str">
        <f>K$2&amp;$C7</f>
        <v>xi</v>
      </c>
      <c r="M7" s="29" t="str">
        <f>M$2&amp;$C19</f>
        <v>ni</v>
      </c>
      <c r="N7" s="29" t="str">
        <f>N$2&amp;$C19</f>
        <v>yi</v>
      </c>
      <c r="P7" s="4" t="str">
        <f>P$2&amp;$C7</f>
        <v>hi</v>
      </c>
      <c r="S7" s="131" t="str">
        <f>Radicals!D8</f>
        <v>Sound</v>
      </c>
      <c r="T7" s="134" t="str">
        <f>Radicals!D7</f>
        <v>pi</v>
      </c>
      <c r="U7" s="286" t="str">
        <f t="shared" si="0"/>
        <v>21</v>
      </c>
      <c r="V7" s="5">
        <v>2</v>
      </c>
      <c r="W7" s="5">
        <v>1</v>
      </c>
    </row>
    <row r="8" spans="1:23" ht="12.75" customHeight="1" thickBot="1">
      <c r="C8" s="369"/>
      <c r="D8" s="27" t="s">
        <v>1259</v>
      </c>
      <c r="E8" s="27" t="s">
        <v>593</v>
      </c>
      <c r="F8" s="92"/>
      <c r="H8" s="27" t="s">
        <v>359</v>
      </c>
      <c r="I8" s="27" t="s">
        <v>363</v>
      </c>
      <c r="J8" s="27" t="s">
        <v>1056</v>
      </c>
      <c r="K8" s="23" t="s">
        <v>360</v>
      </c>
      <c r="M8" s="28" t="s">
        <v>438</v>
      </c>
      <c r="N8" s="80" t="s">
        <v>361</v>
      </c>
      <c r="P8" s="92"/>
      <c r="S8" s="131" t="str">
        <f>Radicals!D10</f>
        <v>Call</v>
      </c>
      <c r="T8" s="134" t="str">
        <f>Radicals!D9</f>
        <v>pu</v>
      </c>
      <c r="U8" s="286" t="str">
        <f t="shared" si="0"/>
        <v>28</v>
      </c>
      <c r="V8" s="5">
        <v>2</v>
      </c>
      <c r="W8" s="5">
        <v>8</v>
      </c>
    </row>
    <row r="9" spans="1:23" ht="12.75" customHeight="1">
      <c r="C9" s="368" t="s">
        <v>137</v>
      </c>
      <c r="D9" s="29" t="str">
        <f>D$2&amp;$C9</f>
        <v>pu</v>
      </c>
      <c r="E9" s="29" t="str">
        <f>E$2&amp;$C9</f>
        <v>tu</v>
      </c>
      <c r="F9" s="4" t="str">
        <f>F$2&amp;$C9</f>
        <v>ku</v>
      </c>
      <c r="H9" s="25" t="str">
        <f>H$2&amp;$C9</f>
        <v>fu</v>
      </c>
      <c r="I9" s="266" t="str">
        <f>I$2&amp;$C9</f>
        <v>su</v>
      </c>
      <c r="J9" s="4" t="str">
        <f>J$2&amp;$C9</f>
        <v>cu</v>
      </c>
      <c r="K9" s="4" t="str">
        <f>K$2&amp;$C9</f>
        <v>xu</v>
      </c>
      <c r="M9" s="29" t="str">
        <f>M$2&amp;$C21</f>
        <v>nu</v>
      </c>
      <c r="N9" s="29" t="str">
        <f>N$2&amp;$C21</f>
        <v>yu</v>
      </c>
      <c r="P9" s="4" t="str">
        <f>P$2&amp;$C9</f>
        <v>hu</v>
      </c>
      <c r="S9" s="131" t="str">
        <f>Radicals!D12</f>
        <v>Information</v>
      </c>
      <c r="T9" s="134" t="str">
        <f>Radicals!D11</f>
        <v>pe</v>
      </c>
      <c r="U9" s="286" t="str">
        <f t="shared" si="0"/>
        <v>22</v>
      </c>
      <c r="V9" s="5">
        <v>2</v>
      </c>
      <c r="W9" s="5">
        <v>2</v>
      </c>
    </row>
    <row r="10" spans="1:23" ht="12.75" customHeight="1" thickBot="1">
      <c r="C10" s="369"/>
      <c r="D10" s="27" t="s">
        <v>1269</v>
      </c>
      <c r="E10" s="34" t="s">
        <v>493</v>
      </c>
      <c r="F10" s="92"/>
      <c r="H10" s="27" t="s">
        <v>482</v>
      </c>
      <c r="I10" s="267" t="s">
        <v>800</v>
      </c>
      <c r="J10" s="92"/>
      <c r="K10" s="92"/>
      <c r="M10" s="27" t="s">
        <v>489</v>
      </c>
      <c r="N10" s="26" t="s">
        <v>491</v>
      </c>
      <c r="P10" s="92"/>
      <c r="S10" s="131" t="str">
        <f>Radicals!D16</f>
        <v>Satisfaction</v>
      </c>
      <c r="T10" s="134" t="str">
        <f>Radicals!D15</f>
        <v>ba</v>
      </c>
      <c r="U10" s="286" t="str">
        <f t="shared" si="0"/>
        <v>26</v>
      </c>
      <c r="V10" s="5">
        <v>2</v>
      </c>
      <c r="W10" s="5">
        <v>6</v>
      </c>
    </row>
    <row r="11" spans="1:23" ht="12.75" customHeight="1">
      <c r="C11" s="368" t="s">
        <v>138</v>
      </c>
      <c r="D11" s="29" t="str">
        <f>D$2&amp;$C11</f>
        <v>pe</v>
      </c>
      <c r="E11" s="163" t="str">
        <f>E$2&amp;$C11</f>
        <v>te</v>
      </c>
      <c r="F11" s="29" t="str">
        <f>F$2&amp;$C11</f>
        <v>ke</v>
      </c>
      <c r="H11" s="163" t="str">
        <f>H$2&amp;$C11</f>
        <v>fe</v>
      </c>
      <c r="I11" s="163" t="str">
        <f>I$2&amp;$C11</f>
        <v>se</v>
      </c>
      <c r="J11" s="163" t="str">
        <f>J$2&amp;$C11</f>
        <v>ce</v>
      </c>
      <c r="K11" s="163" t="str">
        <f>K$2&amp;$C11</f>
        <v>xe</v>
      </c>
      <c r="M11" s="163" t="str">
        <f>M$2&amp;$C11</f>
        <v>ne</v>
      </c>
      <c r="N11" s="163" t="str">
        <f>N$2&amp;$C23</f>
        <v>ye</v>
      </c>
      <c r="P11" s="163" t="str">
        <f>P$2&amp;$C11</f>
        <v>he</v>
      </c>
      <c r="S11" s="131" t="str">
        <f>Radicals!D18</f>
        <v>Good</v>
      </c>
      <c r="T11" s="134" t="str">
        <f>Radicals!D17</f>
        <v>bo</v>
      </c>
      <c r="U11" s="286" t="str">
        <f t="shared" si="0"/>
        <v>24</v>
      </c>
      <c r="V11" s="5">
        <v>2</v>
      </c>
      <c r="W11" s="5">
        <v>4</v>
      </c>
    </row>
    <row r="12" spans="1:23" ht="12.75" customHeight="1" thickBot="1">
      <c r="C12" s="369"/>
      <c r="D12" s="26" t="s">
        <v>1089</v>
      </c>
      <c r="E12" s="162" t="s">
        <v>1088</v>
      </c>
      <c r="F12" s="26" t="s">
        <v>1090</v>
      </c>
      <c r="H12" s="165" t="s">
        <v>381</v>
      </c>
      <c r="I12" s="165" t="s">
        <v>483</v>
      </c>
      <c r="J12" s="165" t="s">
        <v>545</v>
      </c>
      <c r="K12" s="165" t="s">
        <v>1275</v>
      </c>
      <c r="M12" s="162" t="s">
        <v>461</v>
      </c>
      <c r="N12" s="162" t="s">
        <v>492</v>
      </c>
      <c r="P12" s="162" t="s">
        <v>889</v>
      </c>
      <c r="S12" s="131" t="str">
        <f>Radicals!D20</f>
        <v>Light</v>
      </c>
      <c r="T12" s="134" t="str">
        <f>Radicals!D19</f>
        <v>bi</v>
      </c>
      <c r="U12" s="286" t="str">
        <f t="shared" si="0"/>
        <v>20</v>
      </c>
      <c r="V12" s="5">
        <v>2</v>
      </c>
      <c r="W12" s="5">
        <v>0</v>
      </c>
    </row>
    <row r="13" spans="1:23" ht="12.75" customHeight="1" thickBot="1">
      <c r="C13" s="41"/>
      <c r="D13" s="6"/>
      <c r="E13" s="6"/>
      <c r="F13" s="6"/>
      <c r="H13" s="6"/>
      <c r="I13" s="6"/>
      <c r="J13" s="6"/>
      <c r="K13" s="7"/>
      <c r="M13" s="7"/>
      <c r="N13" s="6"/>
      <c r="P13" s="6"/>
      <c r="S13" s="131" t="str">
        <f>Radicals!D22</f>
        <v>Value</v>
      </c>
      <c r="T13" s="134" t="str">
        <f>Radicals!D21</f>
        <v>bu</v>
      </c>
      <c r="U13" s="286" t="str">
        <f t="shared" si="0"/>
        <v>15</v>
      </c>
      <c r="V13" s="5">
        <v>1</v>
      </c>
      <c r="W13" s="5">
        <v>5</v>
      </c>
    </row>
    <row r="14" spans="1:23" s="35" customFormat="1" ht="12.75" customHeight="1" thickBot="1">
      <c r="C14" s="40"/>
      <c r="D14" s="39" t="s">
        <v>150</v>
      </c>
      <c r="E14" s="38" t="s">
        <v>149</v>
      </c>
      <c r="F14" s="39" t="s">
        <v>148</v>
      </c>
      <c r="G14" s="5"/>
      <c r="H14" s="39" t="s">
        <v>147</v>
      </c>
      <c r="I14" s="39" t="s">
        <v>116</v>
      </c>
      <c r="J14" s="38" t="s">
        <v>146</v>
      </c>
      <c r="K14" s="39" t="s">
        <v>117</v>
      </c>
      <c r="M14" s="39" t="s">
        <v>115</v>
      </c>
      <c r="N14" s="39" t="s">
        <v>145</v>
      </c>
      <c r="P14" s="39" t="s">
        <v>118</v>
      </c>
      <c r="R14" s="5"/>
      <c r="S14" s="131" t="str">
        <f>Radicals!D24</f>
        <v>Cosmos</v>
      </c>
      <c r="T14" s="134" t="str">
        <f>Radicals!D23</f>
        <v>be</v>
      </c>
      <c r="U14" s="286" t="str">
        <f t="shared" si="0"/>
        <v>19</v>
      </c>
      <c r="V14" s="5">
        <v>1</v>
      </c>
      <c r="W14" s="5">
        <v>9</v>
      </c>
    </row>
    <row r="15" spans="1:23" ht="12.75" customHeight="1">
      <c r="C15" s="368" t="s">
        <v>134</v>
      </c>
      <c r="D15" s="29" t="str">
        <f>D$14&amp;$C15</f>
        <v>ba</v>
      </c>
      <c r="E15" s="91" t="str">
        <f>E$14&amp;$C15</f>
        <v>da</v>
      </c>
      <c r="F15" s="91" t="str">
        <f>F$14&amp;$C15</f>
        <v>ga</v>
      </c>
      <c r="H15" s="252" t="str">
        <f>H$14&amp;$C15</f>
        <v>va</v>
      </c>
      <c r="I15" s="252" t="str">
        <f>I$14&amp;$C15</f>
        <v>za</v>
      </c>
      <c r="J15" s="91" t="str">
        <f>J$14&amp;$C15</f>
        <v>ja</v>
      </c>
      <c r="K15" s="29" t="str">
        <f>K$14&amp;$C15</f>
        <v>ra</v>
      </c>
      <c r="M15" s="3" t="str">
        <f>M$14&amp;$C15</f>
        <v>ma</v>
      </c>
      <c r="N15" s="29" t="str">
        <f>N$14&amp;$C15</f>
        <v>wa</v>
      </c>
      <c r="P15" s="29" t="str">
        <f>P$14&amp;$C15</f>
        <v>la</v>
      </c>
      <c r="S15" s="131">
        <f>Radicals!E4</f>
        <v>0</v>
      </c>
      <c r="T15" s="134" t="str">
        <f>Radicals!E3</f>
        <v>ta</v>
      </c>
      <c r="U15" s="286" t="str">
        <f t="shared" si="0"/>
        <v>13</v>
      </c>
      <c r="V15" s="5">
        <v>1</v>
      </c>
      <c r="W15" s="5">
        <v>3</v>
      </c>
    </row>
    <row r="16" spans="1:23" ht="12.75" customHeight="1" thickBot="1">
      <c r="C16" s="369"/>
      <c r="D16" s="26" t="s">
        <v>673</v>
      </c>
      <c r="E16" s="92"/>
      <c r="F16" s="92"/>
      <c r="H16" s="268" t="s">
        <v>974</v>
      </c>
      <c r="I16" s="253" t="s">
        <v>647</v>
      </c>
      <c r="J16" s="92"/>
      <c r="K16" s="30" t="s">
        <v>485</v>
      </c>
      <c r="M16" s="93" t="s">
        <v>497</v>
      </c>
      <c r="N16" s="26" t="s">
        <v>481</v>
      </c>
      <c r="P16" s="26" t="s">
        <v>239</v>
      </c>
      <c r="R16" s="35"/>
      <c r="S16" s="131">
        <f>Radicals!E6</f>
        <v>0</v>
      </c>
      <c r="T16" s="134" t="str">
        <f>Radicals!E5</f>
        <v>to</v>
      </c>
      <c r="U16" s="286" t="str">
        <f t="shared" si="0"/>
        <v>17</v>
      </c>
      <c r="V16" s="5">
        <v>1</v>
      </c>
      <c r="W16" s="5">
        <v>7</v>
      </c>
    </row>
    <row r="17" spans="3:23" ht="12.75" customHeight="1">
      <c r="C17" s="368" t="s">
        <v>136</v>
      </c>
      <c r="D17" s="29" t="str">
        <f>D$14&amp;$C17</f>
        <v>bo</v>
      </c>
      <c r="E17" s="91" t="str">
        <f>E$14&amp;$C17</f>
        <v>do</v>
      </c>
      <c r="F17" s="91" t="str">
        <f>F$14&amp;$C17</f>
        <v>go</v>
      </c>
      <c r="H17" s="91" t="str">
        <f>H$14&amp;$C17</f>
        <v>vo</v>
      </c>
      <c r="I17" s="29" t="str">
        <f>I$14&amp;$C17</f>
        <v>zo</v>
      </c>
      <c r="J17" s="91" t="str">
        <f>J$14&amp;$C17</f>
        <v>jo</v>
      </c>
      <c r="K17" s="29" t="str">
        <f>K$14&amp;$C17</f>
        <v>ro</v>
      </c>
      <c r="M17" s="29" t="str">
        <f>M$14&amp;$C17</f>
        <v>mo</v>
      </c>
      <c r="N17" s="91" t="str">
        <f>N$14&amp;$C17</f>
        <v>wo</v>
      </c>
      <c r="P17" s="91" t="str">
        <f>P$14&amp;$C17</f>
        <v>lo</v>
      </c>
      <c r="S17" s="131" t="str">
        <f>Radicals!E8</f>
        <v>New</v>
      </c>
      <c r="T17" s="134" t="str">
        <f>Radicals!E7</f>
        <v>ti</v>
      </c>
      <c r="U17" s="286" t="str">
        <f t="shared" si="0"/>
        <v>11</v>
      </c>
      <c r="V17" s="5">
        <v>1</v>
      </c>
      <c r="W17" s="5">
        <v>1</v>
      </c>
    </row>
    <row r="18" spans="3:23" ht="12.75" customHeight="1" thickBot="1">
      <c r="C18" s="369"/>
      <c r="D18" s="26" t="s">
        <v>496</v>
      </c>
      <c r="E18" s="92"/>
      <c r="F18" s="92"/>
      <c r="H18" s="92"/>
      <c r="I18" s="26" t="s">
        <v>495</v>
      </c>
      <c r="J18" s="92"/>
      <c r="K18" s="24" t="s">
        <v>486</v>
      </c>
      <c r="M18" s="27" t="s">
        <v>1092</v>
      </c>
      <c r="N18" s="92"/>
      <c r="P18" s="92"/>
      <c r="S18" s="131" t="str">
        <f>Radicals!E10</f>
        <v>Origin</v>
      </c>
      <c r="T18" s="134" t="str">
        <f>Radicals!E9</f>
        <v>tu</v>
      </c>
      <c r="U18" s="286" t="str">
        <f t="shared" si="0"/>
        <v>18</v>
      </c>
      <c r="V18" s="5">
        <v>1</v>
      </c>
      <c r="W18" s="5">
        <v>8</v>
      </c>
    </row>
    <row r="19" spans="3:23" ht="12.75" customHeight="1">
      <c r="C19" s="368" t="s">
        <v>135</v>
      </c>
      <c r="D19" s="29" t="str">
        <f>D$14&amp;$C19</f>
        <v>bi</v>
      </c>
      <c r="E19" s="15" t="str">
        <f>E$14&amp;$C19</f>
        <v>di</v>
      </c>
      <c r="F19" s="17" t="str">
        <f>F$14&amp;$C19</f>
        <v>gi</v>
      </c>
      <c r="H19" s="91" t="str">
        <f>H$14&amp;$C19</f>
        <v>vi</v>
      </c>
      <c r="I19" s="29" t="str">
        <f>I$14&amp;$C19</f>
        <v>zi</v>
      </c>
      <c r="J19" s="17" t="str">
        <f>J$14&amp;$C19</f>
        <v>ji</v>
      </c>
      <c r="K19" s="91" t="str">
        <f>K$14&amp;$C19</f>
        <v>ri</v>
      </c>
      <c r="M19" s="22" t="str">
        <f>M$14&amp;$C19</f>
        <v>mi</v>
      </c>
      <c r="N19" s="17" t="str">
        <f>N$14&amp;$C19</f>
        <v>wi</v>
      </c>
      <c r="P19" s="29" t="str">
        <f>P$14&amp;$C19</f>
        <v>li</v>
      </c>
      <c r="S19" s="131" t="str">
        <f>Radicals!E12</f>
        <v>Belong</v>
      </c>
      <c r="T19" s="134" t="str">
        <f>Radicals!E11</f>
        <v>te</v>
      </c>
      <c r="U19" s="286" t="str">
        <f t="shared" si="0"/>
        <v>12</v>
      </c>
      <c r="V19" s="5">
        <v>1</v>
      </c>
      <c r="W19" s="5">
        <v>2</v>
      </c>
    </row>
    <row r="20" spans="3:23" ht="12.75" customHeight="1" thickBot="1">
      <c r="C20" s="369"/>
      <c r="D20" s="26" t="s">
        <v>604</v>
      </c>
      <c r="E20" s="16" t="s">
        <v>364</v>
      </c>
      <c r="F20" s="18" t="s">
        <v>365</v>
      </c>
      <c r="H20" s="92"/>
      <c r="I20" s="27" t="s">
        <v>479</v>
      </c>
      <c r="J20" s="18" t="s">
        <v>500</v>
      </c>
      <c r="K20" s="92"/>
      <c r="M20" s="23" t="s">
        <v>498</v>
      </c>
      <c r="N20" s="18" t="s">
        <v>499</v>
      </c>
      <c r="P20" s="27" t="s">
        <v>1091</v>
      </c>
      <c r="S20" s="131">
        <f>Radicals!E16</f>
        <v>0</v>
      </c>
      <c r="T20" s="134" t="str">
        <f>Radicals!E15</f>
        <v>da</v>
      </c>
      <c r="U20" s="286" t="str">
        <f t="shared" si="0"/>
        <v>16</v>
      </c>
      <c r="V20" s="5">
        <v>1</v>
      </c>
      <c r="W20" s="5">
        <v>6</v>
      </c>
    </row>
    <row r="21" spans="3:23" ht="12.75" customHeight="1">
      <c r="C21" s="368" t="s">
        <v>137</v>
      </c>
      <c r="D21" s="29" t="str">
        <f>D$14&amp;$C21</f>
        <v>bu</v>
      </c>
      <c r="E21" s="91" t="str">
        <f>E$14&amp;$C21</f>
        <v>du</v>
      </c>
      <c r="F21" s="91" t="str">
        <f>F$14&amp;$C21</f>
        <v>gu</v>
      </c>
      <c r="H21" s="91" t="str">
        <f>H$14&amp;$C21</f>
        <v>vu</v>
      </c>
      <c r="I21" s="29" t="str">
        <f>I$14&amp;$C21</f>
        <v>zu</v>
      </c>
      <c r="J21" s="91" t="str">
        <f>J$14&amp;$C21</f>
        <v>ju</v>
      </c>
      <c r="K21" s="91" t="str">
        <f>K$14&amp;$C21</f>
        <v>ru</v>
      </c>
      <c r="M21" s="91" t="str">
        <f>M$14&amp;$C21</f>
        <v>mu</v>
      </c>
      <c r="N21" s="91" t="str">
        <f>N$14&amp;$C21</f>
        <v>wu</v>
      </c>
      <c r="P21" s="91" t="str">
        <f>P$14&amp;$C21</f>
        <v>lu</v>
      </c>
      <c r="S21" s="131">
        <f>Radicals!E18</f>
        <v>0</v>
      </c>
      <c r="T21" s="134" t="str">
        <f>Radicals!E17</f>
        <v>do</v>
      </c>
      <c r="U21" s="286" t="str">
        <f t="shared" si="0"/>
        <v>14</v>
      </c>
      <c r="V21" s="5">
        <v>1</v>
      </c>
      <c r="W21" s="5">
        <v>4</v>
      </c>
    </row>
    <row r="22" spans="3:23" ht="12.75" customHeight="1" thickBot="1">
      <c r="C22" s="369"/>
      <c r="D22" s="26" t="s">
        <v>996</v>
      </c>
      <c r="E22" s="92"/>
      <c r="F22" s="92"/>
      <c r="H22" s="92"/>
      <c r="I22" s="27" t="s">
        <v>480</v>
      </c>
      <c r="J22" s="92"/>
      <c r="K22" s="92"/>
      <c r="M22" s="92"/>
      <c r="N22" s="92"/>
      <c r="P22" s="92"/>
      <c r="S22" s="131" t="str">
        <f>Radicals!E20</f>
        <v>Existence</v>
      </c>
      <c r="T22" s="134" t="str">
        <f>Radicals!E19</f>
        <v>di</v>
      </c>
      <c r="U22" s="286" t="str">
        <f t="shared" si="0"/>
        <v>10</v>
      </c>
      <c r="V22" s="5">
        <v>1</v>
      </c>
      <c r="W22" s="5">
        <v>0</v>
      </c>
    </row>
    <row r="23" spans="3:23" ht="12.75" customHeight="1">
      <c r="C23" s="368" t="s">
        <v>138</v>
      </c>
      <c r="D23" s="29" t="str">
        <f>D$14&amp;$C23</f>
        <v>be</v>
      </c>
      <c r="E23" s="91" t="str">
        <f>E$14&amp;$C23</f>
        <v>de</v>
      </c>
      <c r="F23" s="91" t="str">
        <f>F$14&amp;$C23</f>
        <v>ge</v>
      </c>
      <c r="H23" s="163" t="str">
        <f>H$14&amp;$C23</f>
        <v>ve</v>
      </c>
      <c r="I23" s="163" t="str">
        <f>I$14&amp;$C23</f>
        <v>ze</v>
      </c>
      <c r="J23" s="91" t="str">
        <f>J$14&amp;$C23</f>
        <v>je</v>
      </c>
      <c r="K23" s="164" t="str">
        <f>K$14&amp;$C23</f>
        <v>re</v>
      </c>
      <c r="M23" s="163" t="str">
        <f>M$14&amp;$C11</f>
        <v>me</v>
      </c>
      <c r="N23" s="163" t="str">
        <f>N$14&amp;$C23</f>
        <v>we</v>
      </c>
      <c r="P23" s="163" t="str">
        <f>P$14&amp;$C23</f>
        <v>le</v>
      </c>
      <c r="S23" s="131">
        <f>Radicals!E22</f>
        <v>0</v>
      </c>
      <c r="T23" s="134" t="str">
        <f>Radicals!E21</f>
        <v>du</v>
      </c>
      <c r="U23" s="286" t="str">
        <f t="shared" si="0"/>
        <v>35</v>
      </c>
      <c r="V23" s="5">
        <v>3</v>
      </c>
      <c r="W23" s="5">
        <v>5</v>
      </c>
    </row>
    <row r="24" spans="3:23" ht="12.75" customHeight="1" thickBot="1">
      <c r="C24" s="369"/>
      <c r="D24" s="27" t="s">
        <v>1271</v>
      </c>
      <c r="E24" s="92"/>
      <c r="F24" s="92"/>
      <c r="H24" s="165" t="s">
        <v>470</v>
      </c>
      <c r="I24" s="165" t="s">
        <v>484</v>
      </c>
      <c r="J24" s="92"/>
      <c r="K24" s="166" t="s">
        <v>366</v>
      </c>
      <c r="M24" s="162" t="s">
        <v>367</v>
      </c>
      <c r="N24" s="162" t="s">
        <v>362</v>
      </c>
      <c r="P24" s="162" t="s">
        <v>240</v>
      </c>
      <c r="S24" s="131">
        <f>Radicals!E24</f>
        <v>0</v>
      </c>
      <c r="T24" s="134" t="str">
        <f>Radicals!E23</f>
        <v>de</v>
      </c>
      <c r="U24" s="286" t="str">
        <f t="shared" si="0"/>
        <v>39</v>
      </c>
      <c r="V24" s="5">
        <v>3</v>
      </c>
      <c r="W24" s="5">
        <v>9</v>
      </c>
    </row>
    <row r="25" spans="3:23">
      <c r="S25" s="131" t="str">
        <f>Radicals!F4</f>
        <v>Solid</v>
      </c>
      <c r="T25" s="134" t="str">
        <f>Radicals!F3</f>
        <v>ka</v>
      </c>
      <c r="U25" s="286" t="str">
        <f t="shared" si="0"/>
        <v>33</v>
      </c>
      <c r="V25" s="5">
        <v>3</v>
      </c>
      <c r="W25" s="5">
        <v>3</v>
      </c>
    </row>
    <row r="26" spans="3:23">
      <c r="S26" s="131">
        <f>Radicals!F6</f>
        <v>0</v>
      </c>
      <c r="T26" s="134" t="str">
        <f>Radicals!F5</f>
        <v>ko</v>
      </c>
      <c r="U26" s="286" t="str">
        <f t="shared" si="0"/>
        <v>37</v>
      </c>
      <c r="V26" s="5">
        <v>3</v>
      </c>
      <c r="W26" s="5">
        <v>7</v>
      </c>
    </row>
    <row r="27" spans="3:23">
      <c r="D27" s="8"/>
      <c r="E27" s="8"/>
      <c r="F27" s="167" t="s">
        <v>644</v>
      </c>
      <c r="S27" s="131">
        <f>Radicals!F8</f>
        <v>0</v>
      </c>
      <c r="T27" s="134" t="str">
        <f>Radicals!F7</f>
        <v>ki</v>
      </c>
      <c r="U27" s="286" t="str">
        <f t="shared" si="0"/>
        <v>31</v>
      </c>
      <c r="V27" s="5">
        <v>3</v>
      </c>
      <c r="W27" s="5">
        <v>1</v>
      </c>
    </row>
    <row r="28" spans="3:23">
      <c r="D28" s="8"/>
      <c r="E28" s="8"/>
      <c r="F28" s="8" t="s">
        <v>645</v>
      </c>
      <c r="G28" s="12" t="s">
        <v>648</v>
      </c>
      <c r="K28" s="156" t="s">
        <v>780</v>
      </c>
      <c r="S28" s="131">
        <f>Radicals!F10</f>
        <v>0</v>
      </c>
      <c r="T28" s="134" t="str">
        <f>Radicals!F9</f>
        <v>ku</v>
      </c>
      <c r="U28" s="286" t="str">
        <f t="shared" si="0"/>
        <v>38</v>
      </c>
      <c r="V28" s="5">
        <v>3</v>
      </c>
      <c r="W28" s="5">
        <v>8</v>
      </c>
    </row>
    <row r="29" spans="3:23">
      <c r="D29" s="8"/>
      <c r="E29" s="8"/>
      <c r="F29" s="8" t="s">
        <v>646</v>
      </c>
      <c r="G29" s="12" t="s">
        <v>649</v>
      </c>
      <c r="K29" s="12" t="s">
        <v>779</v>
      </c>
      <c r="N29" s="12" t="s">
        <v>778</v>
      </c>
      <c r="S29" s="131" t="str">
        <f>Radicals!F12</f>
        <v>Tool</v>
      </c>
      <c r="T29" s="134" t="str">
        <f>Radicals!F11</f>
        <v>ke</v>
      </c>
      <c r="U29" s="286" t="str">
        <f t="shared" si="0"/>
        <v>32</v>
      </c>
      <c r="V29" s="5">
        <v>3</v>
      </c>
      <c r="W29" s="5">
        <v>2</v>
      </c>
    </row>
    <row r="30" spans="3:23">
      <c r="D30" s="8"/>
      <c r="E30" s="8"/>
      <c r="F30" s="8" t="s">
        <v>647</v>
      </c>
      <c r="G30" s="12" t="s">
        <v>890</v>
      </c>
      <c r="K30" s="12" t="s">
        <v>777</v>
      </c>
      <c r="N30" s="12" t="s">
        <v>778</v>
      </c>
      <c r="S30" s="131">
        <f>Radicals!F16</f>
        <v>0</v>
      </c>
      <c r="T30" s="134" t="str">
        <f>Radicals!F15</f>
        <v>ga</v>
      </c>
      <c r="U30" s="286" t="str">
        <f t="shared" si="0"/>
        <v>36</v>
      </c>
      <c r="V30" s="5">
        <v>3</v>
      </c>
      <c r="W30" s="5">
        <v>6</v>
      </c>
    </row>
    <row r="31" spans="3:23">
      <c r="D31" s="8"/>
      <c r="E31" s="8"/>
      <c r="F31" s="8" t="s">
        <v>650</v>
      </c>
      <c r="K31" s="12"/>
      <c r="S31" s="131">
        <f>Radicals!F18</f>
        <v>0</v>
      </c>
      <c r="T31" s="134" t="str">
        <f>Radicals!F17</f>
        <v>go</v>
      </c>
      <c r="U31" s="286" t="str">
        <f t="shared" si="0"/>
        <v>34</v>
      </c>
      <c r="V31" s="5">
        <v>3</v>
      </c>
      <c r="W31" s="5">
        <v>4</v>
      </c>
    </row>
    <row r="32" spans="3:23">
      <c r="D32" s="8"/>
      <c r="E32" s="8"/>
      <c r="F32" s="8" t="s">
        <v>651</v>
      </c>
      <c r="S32" s="131" t="str">
        <f>Radicals!F20</f>
        <v>Relation</v>
      </c>
      <c r="T32" s="134" t="str">
        <f>Radicals!F19</f>
        <v>gi</v>
      </c>
      <c r="U32" s="286" t="str">
        <f t="shared" si="0"/>
        <v>30</v>
      </c>
      <c r="V32" s="5">
        <v>3</v>
      </c>
      <c r="W32" s="5">
        <v>0</v>
      </c>
    </row>
    <row r="33" spans="4:23">
      <c r="D33" s="8"/>
      <c r="E33" s="8"/>
      <c r="F33" s="8" t="s">
        <v>671</v>
      </c>
      <c r="G33" s="12" t="s">
        <v>672</v>
      </c>
      <c r="K33" s="5" t="s">
        <v>905</v>
      </c>
      <c r="S33" s="131">
        <f>Radicals!F22</f>
        <v>0</v>
      </c>
      <c r="T33" s="134" t="str">
        <f>Radicals!F21</f>
        <v>gu</v>
      </c>
      <c r="U33" s="286" t="str">
        <f t="shared" si="0"/>
        <v>75</v>
      </c>
      <c r="V33" s="5">
        <v>7</v>
      </c>
      <c r="W33" s="5">
        <v>5</v>
      </c>
    </row>
    <row r="34" spans="4:23">
      <c r="D34" s="8"/>
      <c r="E34" s="8"/>
      <c r="F34" s="8"/>
      <c r="K34" s="5" t="s">
        <v>906</v>
      </c>
      <c r="S34" s="131">
        <f>Radicals!F24</f>
        <v>0</v>
      </c>
      <c r="T34" s="134" t="str">
        <f>Radicals!F23</f>
        <v>ge</v>
      </c>
      <c r="U34" s="286" t="str">
        <f t="shared" si="0"/>
        <v>79</v>
      </c>
      <c r="V34" s="5">
        <v>7</v>
      </c>
      <c r="W34" s="5">
        <v>9</v>
      </c>
    </row>
    <row r="35" spans="4:23">
      <c r="D35" s="8"/>
      <c r="E35" s="8"/>
      <c r="F35" s="8"/>
      <c r="S35" s="131">
        <f>Radicals!H4</f>
        <v>0</v>
      </c>
      <c r="T35" s="134" t="str">
        <f>Radicals!H3</f>
        <v>fa</v>
      </c>
      <c r="U35" s="286" t="str">
        <f t="shared" si="0"/>
        <v>73</v>
      </c>
      <c r="V35" s="5">
        <v>7</v>
      </c>
      <c r="W35" s="5">
        <v>3</v>
      </c>
    </row>
    <row r="36" spans="4:23">
      <c r="D36" s="8"/>
      <c r="E36" s="8"/>
      <c r="F36" s="8"/>
      <c r="S36" s="131">
        <f>Radicals!H6</f>
        <v>0</v>
      </c>
      <c r="T36" s="134" t="str">
        <f>Radicals!H5</f>
        <v>fo</v>
      </c>
      <c r="U36" s="286" t="str">
        <f t="shared" si="0"/>
        <v>77</v>
      </c>
      <c r="V36" s="5">
        <v>7</v>
      </c>
      <c r="W36" s="5">
        <v>7</v>
      </c>
    </row>
    <row r="37" spans="4:23">
      <c r="D37" s="8"/>
      <c r="E37" s="8"/>
      <c r="F37" s="8"/>
      <c r="S37" s="131" t="str">
        <f>Radicals!H8</f>
        <v>Transcendance</v>
      </c>
      <c r="T37" s="134" t="str">
        <f>Radicals!H7</f>
        <v>fi</v>
      </c>
      <c r="U37" s="286" t="str">
        <f t="shared" si="0"/>
        <v>71</v>
      </c>
      <c r="V37" s="5">
        <v>7</v>
      </c>
      <c r="W37" s="5">
        <v>1</v>
      </c>
    </row>
    <row r="38" spans="4:23">
      <c r="D38" s="8"/>
      <c r="E38" s="8"/>
      <c r="F38" s="8"/>
      <c r="S38" s="131" t="str">
        <f>Radicals!H10</f>
        <v>Quality</v>
      </c>
      <c r="T38" s="134" t="str">
        <f>Radicals!H9</f>
        <v>fu</v>
      </c>
      <c r="U38" s="286" t="str">
        <f t="shared" si="0"/>
        <v>78</v>
      </c>
      <c r="V38" s="5">
        <v>7</v>
      </c>
      <c r="W38" s="5">
        <v>8</v>
      </c>
    </row>
    <row r="39" spans="4:23">
      <c r="D39" s="8"/>
      <c r="E39" s="8"/>
      <c r="F39" s="8"/>
      <c r="S39" s="131" t="str">
        <f>Radicals!H12</f>
        <v>Property</v>
      </c>
      <c r="T39" s="134" t="str">
        <f>Radicals!H11</f>
        <v>fe</v>
      </c>
      <c r="U39" s="286" t="str">
        <f t="shared" si="0"/>
        <v>72</v>
      </c>
      <c r="V39" s="5">
        <v>7</v>
      </c>
      <c r="W39" s="5">
        <v>2</v>
      </c>
    </row>
    <row r="40" spans="4:23">
      <c r="D40" s="8"/>
      <c r="E40" s="8"/>
      <c r="F40" s="8"/>
      <c r="S40" s="131" t="str">
        <f>Radicals!H16</f>
        <v>Gas</v>
      </c>
      <c r="T40" s="134" t="str">
        <f>Radicals!H15</f>
        <v>va</v>
      </c>
      <c r="U40" s="286" t="str">
        <f t="shared" si="0"/>
        <v>76</v>
      </c>
      <c r="V40" s="5">
        <v>7</v>
      </c>
      <c r="W40" s="5">
        <v>6</v>
      </c>
    </row>
    <row r="41" spans="4:23">
      <c r="D41" s="8"/>
      <c r="E41" s="8"/>
      <c r="F41" s="8"/>
      <c r="S41" s="131">
        <f>Radicals!H18</f>
        <v>0</v>
      </c>
      <c r="T41" s="134" t="str">
        <f>Radicals!H17</f>
        <v>vo</v>
      </c>
      <c r="U41" s="286" t="str">
        <f t="shared" si="0"/>
        <v>74</v>
      </c>
      <c r="V41" s="5">
        <v>7</v>
      </c>
      <c r="W41" s="5">
        <v>4</v>
      </c>
    </row>
    <row r="42" spans="4:23">
      <c r="D42" s="8"/>
      <c r="E42" s="8"/>
      <c r="F42" s="8"/>
      <c r="S42" s="131">
        <f>Radicals!H20</f>
        <v>0</v>
      </c>
      <c r="T42" s="134" t="str">
        <f>Radicals!H19</f>
        <v>vi</v>
      </c>
      <c r="U42" s="286" t="str">
        <f t="shared" si="0"/>
        <v>70</v>
      </c>
      <c r="V42" s="5">
        <v>7</v>
      </c>
      <c r="W42" s="5">
        <v>0</v>
      </c>
    </row>
    <row r="43" spans="4:23">
      <c r="D43" s="8"/>
      <c r="E43" s="8"/>
      <c r="F43" s="8"/>
      <c r="S43" s="131">
        <f>Radicals!H22</f>
        <v>0</v>
      </c>
      <c r="T43" s="134" t="str">
        <f>Radicals!H21</f>
        <v>vu</v>
      </c>
      <c r="U43" s="286" t="str">
        <f t="shared" si="0"/>
        <v>95</v>
      </c>
      <c r="V43" s="5">
        <v>9</v>
      </c>
      <c r="W43" s="5">
        <v>5</v>
      </c>
    </row>
    <row r="44" spans="4:23">
      <c r="D44" s="8"/>
      <c r="E44" s="8"/>
      <c r="F44" s="8"/>
      <c r="S44" s="131" t="str">
        <f>Radicals!H24</f>
        <v>Manner</v>
      </c>
      <c r="T44" s="134" t="str">
        <f>Radicals!H23</f>
        <v>ve</v>
      </c>
      <c r="U44" s="286" t="str">
        <f t="shared" si="0"/>
        <v>99</v>
      </c>
      <c r="V44" s="5">
        <v>9</v>
      </c>
      <c r="W44" s="5">
        <v>9</v>
      </c>
    </row>
    <row r="45" spans="4:23">
      <c r="D45" s="8"/>
      <c r="E45" s="8"/>
      <c r="F45" s="8"/>
      <c r="S45" s="131" t="str">
        <f>Radicals!I4</f>
        <v>Cycle</v>
      </c>
      <c r="T45" s="134" t="str">
        <f>Radicals!I3</f>
        <v>sa</v>
      </c>
      <c r="U45" s="286" t="str">
        <f t="shared" si="0"/>
        <v>93</v>
      </c>
      <c r="V45" s="5">
        <v>9</v>
      </c>
      <c r="W45" s="5">
        <v>3</v>
      </c>
    </row>
    <row r="46" spans="4:23">
      <c r="D46" s="8"/>
      <c r="E46" s="8"/>
      <c r="F46" s="8"/>
      <c r="S46" s="131" t="str">
        <f>Radicals!I6</f>
        <v>Combination</v>
      </c>
      <c r="T46" s="134" t="str">
        <f>Radicals!I5</f>
        <v>so</v>
      </c>
      <c r="U46" s="286" t="str">
        <f t="shared" si="0"/>
        <v>97</v>
      </c>
      <c r="V46" s="5">
        <v>9</v>
      </c>
      <c r="W46" s="5">
        <v>7</v>
      </c>
    </row>
    <row r="47" spans="4:23">
      <c r="D47" s="8"/>
      <c r="E47" s="8"/>
      <c r="F47" s="8"/>
      <c r="S47" s="131" t="str">
        <f>Radicals!I8</f>
        <v>Contribution</v>
      </c>
      <c r="T47" s="134" t="str">
        <f>Radicals!I7</f>
        <v>si</v>
      </c>
      <c r="U47" s="286" t="str">
        <f t="shared" si="0"/>
        <v>91</v>
      </c>
      <c r="V47" s="5">
        <v>9</v>
      </c>
      <c r="W47" s="5">
        <v>1</v>
      </c>
    </row>
    <row r="48" spans="4:23">
      <c r="D48" s="9"/>
      <c r="E48" s="8"/>
      <c r="F48" s="11"/>
      <c r="S48" s="131" t="str">
        <f>Radicals!I10</f>
        <v>Cross</v>
      </c>
      <c r="T48" s="134" t="str">
        <f>Radicals!I9</f>
        <v>su</v>
      </c>
      <c r="U48" s="286" t="str">
        <f t="shared" si="0"/>
        <v>98</v>
      </c>
      <c r="V48" s="5">
        <v>9</v>
      </c>
      <c r="W48" s="5">
        <v>8</v>
      </c>
    </row>
    <row r="49" spans="4:23">
      <c r="D49" s="8"/>
      <c r="E49" s="8"/>
      <c r="F49" s="8"/>
      <c r="S49" s="131" t="str">
        <f>Radicals!I12</f>
        <v>Trend</v>
      </c>
      <c r="T49" s="134" t="str">
        <f>Radicals!I11</f>
        <v>se</v>
      </c>
      <c r="U49" s="286" t="str">
        <f t="shared" si="0"/>
        <v>92</v>
      </c>
      <c r="V49" s="5">
        <v>9</v>
      </c>
      <c r="W49" s="5">
        <v>2</v>
      </c>
    </row>
    <row r="50" spans="4:23">
      <c r="D50" s="8"/>
      <c r="E50" s="8"/>
      <c r="F50" s="8"/>
      <c r="S50" s="131" t="str">
        <f>Radicals!I16</f>
        <v>Liquid</v>
      </c>
      <c r="T50" s="134" t="str">
        <f>Radicals!I15</f>
        <v>za</v>
      </c>
      <c r="U50" s="286" t="str">
        <f t="shared" si="0"/>
        <v>96</v>
      </c>
      <c r="V50" s="5">
        <v>9</v>
      </c>
      <c r="W50" s="5">
        <v>6</v>
      </c>
    </row>
    <row r="51" spans="4:23">
      <c r="D51" s="8"/>
      <c r="E51" s="8"/>
      <c r="F51" s="8"/>
      <c r="S51" s="131" t="str">
        <f>Radicals!I18</f>
        <v>Life</v>
      </c>
      <c r="T51" s="134" t="str">
        <f>Radicals!I17</f>
        <v>zo</v>
      </c>
      <c r="U51" s="286" t="str">
        <f t="shared" si="0"/>
        <v>94</v>
      </c>
      <c r="V51" s="5">
        <v>9</v>
      </c>
      <c r="W51" s="5">
        <v>4</v>
      </c>
    </row>
    <row r="52" spans="4:23">
      <c r="D52" s="8"/>
      <c r="E52" s="8"/>
      <c r="F52" s="8"/>
      <c r="S52" s="131" t="str">
        <f>Radicals!I20</f>
        <v>Female</v>
      </c>
      <c r="T52" s="134" t="str">
        <f>Radicals!I19</f>
        <v>zi</v>
      </c>
      <c r="U52" s="286" t="str">
        <f t="shared" si="0"/>
        <v>90</v>
      </c>
      <c r="V52" s="5">
        <v>9</v>
      </c>
      <c r="W52" s="5">
        <v>0</v>
      </c>
    </row>
    <row r="53" spans="4:23">
      <c r="D53" s="8"/>
      <c r="E53" s="10"/>
      <c r="F53" s="8"/>
      <c r="S53" s="131" t="str">
        <f>Radicals!I22</f>
        <v>Human</v>
      </c>
      <c r="T53" s="134" t="str">
        <f>Radicals!I21</f>
        <v>zu</v>
      </c>
      <c r="U53" s="286" t="str">
        <f t="shared" si="0"/>
        <v>65</v>
      </c>
      <c r="V53" s="5">
        <v>6</v>
      </c>
      <c r="W53" s="5">
        <v>5</v>
      </c>
    </row>
    <row r="54" spans="4:23">
      <c r="D54" s="8"/>
      <c r="E54" s="10"/>
      <c r="F54" s="8"/>
      <c r="S54" s="131" t="str">
        <f>Radicals!I24</f>
        <v>Will</v>
      </c>
      <c r="T54" s="134" t="str">
        <f>Radicals!I23</f>
        <v>ze</v>
      </c>
      <c r="U54" s="286" t="str">
        <f t="shared" si="0"/>
        <v>69</v>
      </c>
      <c r="V54" s="5">
        <v>6</v>
      </c>
      <c r="W54" s="5">
        <v>9</v>
      </c>
    </row>
    <row r="55" spans="4:23">
      <c r="D55" s="8"/>
      <c r="E55" s="10"/>
      <c r="F55" s="8"/>
      <c r="S55" s="131" t="str">
        <f>Radicals!J4</f>
        <v>Mind</v>
      </c>
      <c r="T55" s="134" t="str">
        <f>Radicals!J3</f>
        <v>ca</v>
      </c>
      <c r="U55" s="286" t="str">
        <f t="shared" si="0"/>
        <v>63</v>
      </c>
      <c r="V55" s="5">
        <v>6</v>
      </c>
      <c r="W55" s="5">
        <v>3</v>
      </c>
    </row>
    <row r="56" spans="4:23">
      <c r="D56" s="8"/>
      <c r="E56" s="8"/>
      <c r="S56" s="131" t="str">
        <f>Radicals!J6</f>
        <v>Heart</v>
      </c>
      <c r="T56" s="134" t="str">
        <f>Radicals!J5</f>
        <v>co</v>
      </c>
      <c r="U56" s="286" t="str">
        <f t="shared" si="0"/>
        <v>67</v>
      </c>
      <c r="V56" s="5">
        <v>6</v>
      </c>
      <c r="W56" s="5">
        <v>7</v>
      </c>
    </row>
    <row r="57" spans="4:23">
      <c r="D57" s="8"/>
      <c r="E57" s="8"/>
      <c r="S57" s="131" t="str">
        <f>Radicals!J8</f>
        <v>Body</v>
      </c>
      <c r="T57" s="134" t="str">
        <f>Radicals!J7</f>
        <v>ci</v>
      </c>
      <c r="U57" s="286" t="str">
        <f t="shared" si="0"/>
        <v>61</v>
      </c>
      <c r="V57" s="5">
        <v>6</v>
      </c>
      <c r="W57" s="5">
        <v>1</v>
      </c>
    </row>
    <row r="58" spans="4:23">
      <c r="D58" s="8"/>
      <c r="E58" s="8"/>
      <c r="S58" s="131">
        <f>Radicals!J10</f>
        <v>0</v>
      </c>
      <c r="T58" s="134" t="str">
        <f>Radicals!J9</f>
        <v>cu</v>
      </c>
      <c r="U58" s="286" t="str">
        <f t="shared" si="0"/>
        <v>68</v>
      </c>
      <c r="V58" s="5">
        <v>6</v>
      </c>
      <c r="W58" s="5">
        <v>8</v>
      </c>
    </row>
    <row r="59" spans="4:23">
      <c r="D59" s="8"/>
      <c r="E59" s="8"/>
      <c r="S59" s="131" t="str">
        <f>Radicals!J12</f>
        <v>Past</v>
      </c>
      <c r="T59" s="134" t="str">
        <f>Radicals!J11</f>
        <v>ce</v>
      </c>
      <c r="U59" s="286" t="str">
        <f t="shared" si="0"/>
        <v>62</v>
      </c>
      <c r="V59" s="5">
        <v>6</v>
      </c>
      <c r="W59" s="5">
        <v>2</v>
      </c>
    </row>
    <row r="60" spans="4:23">
      <c r="D60" s="8"/>
      <c r="E60" s="8"/>
      <c r="S60" s="131">
        <f>Radicals!J16</f>
        <v>0</v>
      </c>
      <c r="T60" s="134" t="str">
        <f>Radicals!J15</f>
        <v>ja</v>
      </c>
      <c r="U60" s="286" t="str">
        <f t="shared" si="0"/>
        <v>66</v>
      </c>
      <c r="V60" s="5">
        <v>6</v>
      </c>
      <c r="W60" s="5">
        <v>6</v>
      </c>
    </row>
    <row r="61" spans="4:23">
      <c r="D61" s="8"/>
      <c r="E61" s="8"/>
      <c r="S61" s="131">
        <f>Radicals!J18</f>
        <v>0</v>
      </c>
      <c r="T61" s="134" t="str">
        <f>Radicals!J17</f>
        <v>jo</v>
      </c>
      <c r="U61" s="286" t="str">
        <f t="shared" si="0"/>
        <v>64</v>
      </c>
      <c r="V61" s="5">
        <v>6</v>
      </c>
      <c r="W61" s="5">
        <v>4</v>
      </c>
    </row>
    <row r="62" spans="4:23">
      <c r="D62" s="8"/>
      <c r="E62" s="8"/>
      <c r="S62" s="131" t="str">
        <f>Radicals!J20</f>
        <v>Neutrality</v>
      </c>
      <c r="T62" s="134" t="str">
        <f>Radicals!J19</f>
        <v>ji</v>
      </c>
      <c r="U62" s="286" t="str">
        <f t="shared" si="0"/>
        <v>60</v>
      </c>
      <c r="V62" s="5">
        <v>6</v>
      </c>
      <c r="W62" s="5">
        <v>0</v>
      </c>
    </row>
    <row r="63" spans="4:23">
      <c r="D63" s="8"/>
      <c r="E63" s="8"/>
      <c r="S63" s="131">
        <f>Radicals!J22</f>
        <v>0</v>
      </c>
      <c r="T63" s="134" t="str">
        <f>Radicals!J21</f>
        <v>ju</v>
      </c>
      <c r="U63" s="286" t="str">
        <f t="shared" si="0"/>
        <v>55</v>
      </c>
      <c r="V63" s="5">
        <v>5</v>
      </c>
      <c r="W63" s="5">
        <v>5</v>
      </c>
    </row>
    <row r="64" spans="4:23">
      <c r="D64" s="8"/>
      <c r="E64" s="8"/>
      <c r="S64" s="131">
        <f>Radicals!J24</f>
        <v>0</v>
      </c>
      <c r="T64" s="134" t="str">
        <f>Radicals!J23</f>
        <v>je</v>
      </c>
      <c r="U64" s="286" t="str">
        <f t="shared" si="0"/>
        <v>59</v>
      </c>
      <c r="V64" s="5">
        <v>5</v>
      </c>
      <c r="W64" s="5">
        <v>9</v>
      </c>
    </row>
    <row r="65" spans="4:23">
      <c r="D65" s="8"/>
      <c r="E65" s="8"/>
      <c r="S65" s="131" t="str">
        <f>Radicals!K4</f>
        <v>Law</v>
      </c>
      <c r="T65" s="134" t="str">
        <f>Radicals!K3</f>
        <v>xa</v>
      </c>
      <c r="U65" s="286" t="str">
        <f t="shared" si="0"/>
        <v>53</v>
      </c>
      <c r="V65" s="5">
        <v>5</v>
      </c>
      <c r="W65" s="5">
        <v>3</v>
      </c>
    </row>
    <row r="66" spans="4:23">
      <c r="D66" s="8"/>
      <c r="E66" s="8"/>
      <c r="S66" s="131" t="str">
        <f>Radicals!K6</f>
        <v>Choice</v>
      </c>
      <c r="T66" s="134" t="str">
        <f>Radicals!K5</f>
        <v>xo</v>
      </c>
      <c r="U66" s="286" t="str">
        <f t="shared" si="0"/>
        <v>57</v>
      </c>
      <c r="V66" s="5">
        <v>5</v>
      </c>
      <c r="W66" s="5">
        <v>7</v>
      </c>
    </row>
    <row r="67" spans="4:23">
      <c r="D67" s="8"/>
      <c r="E67" s="8"/>
      <c r="S67" s="131" t="str">
        <f>Radicals!K8</f>
        <v>Question</v>
      </c>
      <c r="T67" s="134" t="str">
        <f>Radicals!K7</f>
        <v>xi</v>
      </c>
      <c r="U67" s="286" t="str">
        <f t="shared" si="0"/>
        <v>51</v>
      </c>
      <c r="V67" s="5">
        <v>5</v>
      </c>
      <c r="W67" s="5">
        <v>1</v>
      </c>
    </row>
    <row r="68" spans="4:23">
      <c r="D68" s="8"/>
      <c r="E68" s="8"/>
      <c r="S68" s="131">
        <f>Radicals!K10</f>
        <v>0</v>
      </c>
      <c r="T68" s="134" t="str">
        <f>Radicals!K9</f>
        <v>xu</v>
      </c>
      <c r="U68" s="286" t="str">
        <f t="shared" ref="U68:U102" si="1">V68&amp;W68</f>
        <v>58</v>
      </c>
      <c r="V68" s="5">
        <v>5</v>
      </c>
      <c r="W68" s="5">
        <v>8</v>
      </c>
    </row>
    <row r="69" spans="4:23">
      <c r="D69" s="8"/>
      <c r="E69" s="8"/>
      <c r="S69" s="131" t="str">
        <f>Radicals!K12</f>
        <v>Condition</v>
      </c>
      <c r="T69" s="134" t="str">
        <f>Radicals!K11</f>
        <v>xe</v>
      </c>
      <c r="U69" s="286" t="str">
        <f t="shared" si="1"/>
        <v>52</v>
      </c>
      <c r="V69" s="5">
        <v>5</v>
      </c>
      <c r="W69" s="5">
        <v>2</v>
      </c>
    </row>
    <row r="70" spans="4:23">
      <c r="D70" s="8"/>
      <c r="E70" s="8"/>
      <c r="S70" s="131" t="str">
        <f>Radicals!K16</f>
        <v>Author</v>
      </c>
      <c r="T70" s="134" t="str">
        <f>Radicals!K15</f>
        <v>ra</v>
      </c>
      <c r="U70" s="286" t="str">
        <f t="shared" si="1"/>
        <v>56</v>
      </c>
      <c r="V70" s="5">
        <v>5</v>
      </c>
      <c r="W70" s="5">
        <v>6</v>
      </c>
    </row>
    <row r="71" spans="4:23">
      <c r="D71" s="8"/>
      <c r="E71" s="8"/>
      <c r="S71" s="131" t="str">
        <f>Radicals!K18</f>
        <v>Power</v>
      </c>
      <c r="T71" s="134" t="str">
        <f>Radicals!K17</f>
        <v>ro</v>
      </c>
      <c r="U71" s="286" t="str">
        <f t="shared" si="1"/>
        <v>54</v>
      </c>
      <c r="V71" s="5">
        <v>5</v>
      </c>
      <c r="W71" s="5">
        <v>4</v>
      </c>
    </row>
    <row r="72" spans="4:23">
      <c r="D72" s="8"/>
      <c r="E72" s="8"/>
      <c r="S72" s="131">
        <f>Radicals!K20</f>
        <v>0</v>
      </c>
      <c r="T72" s="134" t="str">
        <f>Radicals!K19</f>
        <v>ri</v>
      </c>
      <c r="U72" s="286" t="str">
        <f t="shared" si="1"/>
        <v>50</v>
      </c>
      <c r="V72" s="5">
        <v>5</v>
      </c>
      <c r="W72" s="5">
        <v>0</v>
      </c>
    </row>
    <row r="73" spans="4:23">
      <c r="D73" s="8"/>
      <c r="E73" s="8"/>
      <c r="S73" s="131">
        <f>Radicals!K22</f>
        <v>0</v>
      </c>
      <c r="T73" s="134" t="str">
        <f>Radicals!K21</f>
        <v>ru</v>
      </c>
      <c r="U73" s="286" t="str">
        <f t="shared" si="1"/>
        <v>05</v>
      </c>
      <c r="V73" s="5">
        <v>0</v>
      </c>
      <c r="W73" s="5">
        <v>5</v>
      </c>
    </row>
    <row r="74" spans="4:23">
      <c r="D74" s="8"/>
      <c r="E74" s="8"/>
      <c r="S74" s="131" t="str">
        <f>Radicals!K24</f>
        <v>Action</v>
      </c>
      <c r="T74" s="134" t="str">
        <f>Radicals!K23</f>
        <v>re</v>
      </c>
      <c r="U74" s="286" t="str">
        <f t="shared" si="1"/>
        <v>09</v>
      </c>
      <c r="V74" s="5">
        <v>0</v>
      </c>
      <c r="W74" s="5">
        <v>9</v>
      </c>
    </row>
    <row r="75" spans="4:23">
      <c r="S75" s="131">
        <f>Radicals!P4</f>
        <v>0</v>
      </c>
      <c r="T75" s="134" t="str">
        <f>Radicals!P3</f>
        <v>ha</v>
      </c>
      <c r="U75" s="286" t="str">
        <f t="shared" si="1"/>
        <v>03</v>
      </c>
      <c r="V75" s="5">
        <v>0</v>
      </c>
      <c r="W75" s="5">
        <v>3</v>
      </c>
    </row>
    <row r="76" spans="4:23">
      <c r="S76" s="131">
        <f>Radicals!P6</f>
        <v>0</v>
      </c>
      <c r="T76" s="134" t="str">
        <f>Radicals!P5</f>
        <v>ho</v>
      </c>
      <c r="U76" s="286" t="str">
        <f t="shared" si="1"/>
        <v>07</v>
      </c>
      <c r="V76" s="5">
        <v>0</v>
      </c>
      <c r="W76" s="5">
        <v>7</v>
      </c>
    </row>
    <row r="77" spans="4:23">
      <c r="S77" s="131">
        <f>Radicals!P8</f>
        <v>0</v>
      </c>
      <c r="T77" s="134" t="str">
        <f>Radicals!P7</f>
        <v>hi</v>
      </c>
      <c r="U77" s="286" t="str">
        <f t="shared" si="1"/>
        <v>01</v>
      </c>
      <c r="V77" s="5">
        <v>0</v>
      </c>
      <c r="W77" s="5">
        <v>1</v>
      </c>
    </row>
    <row r="78" spans="4:23">
      <c r="S78" s="131">
        <f>Radicals!P10</f>
        <v>0</v>
      </c>
      <c r="T78" s="134" t="str">
        <f>Radicals!P9</f>
        <v>hu</v>
      </c>
      <c r="U78" s="286" t="str">
        <f t="shared" si="1"/>
        <v>08</v>
      </c>
      <c r="V78" s="5">
        <v>0</v>
      </c>
      <c r="W78" s="5">
        <v>8</v>
      </c>
    </row>
    <row r="79" spans="4:23">
      <c r="S79" s="131" t="str">
        <f>Radicals!P12</f>
        <v>JOKER</v>
      </c>
      <c r="T79" s="134" t="str">
        <f>Radicals!P11</f>
        <v>he</v>
      </c>
      <c r="U79" s="286" t="str">
        <f t="shared" si="1"/>
        <v>02</v>
      </c>
      <c r="V79" s="5">
        <v>0</v>
      </c>
      <c r="W79" s="5">
        <v>2</v>
      </c>
    </row>
    <row r="80" spans="4:23">
      <c r="S80" s="131" t="str">
        <f>Radicals!P16</f>
        <v>Space</v>
      </c>
      <c r="T80" s="134" t="str">
        <f>Radicals!P15</f>
        <v>la</v>
      </c>
      <c r="U80" s="286" t="str">
        <f t="shared" si="1"/>
        <v>06</v>
      </c>
      <c r="V80" s="5">
        <v>0</v>
      </c>
      <c r="W80" s="5">
        <v>6</v>
      </c>
    </row>
    <row r="81" spans="19:23">
      <c r="S81" s="131">
        <f>Radicals!P18</f>
        <v>0</v>
      </c>
      <c r="T81" s="134" t="str">
        <f>Radicals!P17</f>
        <v>lo</v>
      </c>
      <c r="U81" s="286" t="str">
        <f t="shared" si="1"/>
        <v>04</v>
      </c>
      <c r="V81" s="5">
        <v>0</v>
      </c>
      <c r="W81" s="5">
        <v>4</v>
      </c>
    </row>
    <row r="82" spans="19:23">
      <c r="S82" s="131" t="str">
        <f>Radicals!P20</f>
        <v>Electricity</v>
      </c>
      <c r="T82" s="134" t="str">
        <f>Radicals!P19</f>
        <v>li</v>
      </c>
      <c r="U82" s="286" t="str">
        <f t="shared" si="1"/>
        <v>00</v>
      </c>
      <c r="V82" s="5">
        <v>0</v>
      </c>
      <c r="W82" s="5">
        <v>0</v>
      </c>
    </row>
    <row r="83" spans="19:23">
      <c r="S83" s="131">
        <f>Radicals!P22</f>
        <v>0</v>
      </c>
      <c r="T83" s="134" t="str">
        <f>Radicals!P21</f>
        <v>lu</v>
      </c>
      <c r="U83" s="286" t="str">
        <f t="shared" si="1"/>
        <v>45</v>
      </c>
      <c r="V83" s="5">
        <v>4</v>
      </c>
      <c r="W83" s="5">
        <v>5</v>
      </c>
    </row>
    <row r="84" spans="19:23">
      <c r="S84" s="131" t="str">
        <f>Radicals!P24</f>
        <v>Time</v>
      </c>
      <c r="T84" s="134" t="str">
        <f>Radicals!P23</f>
        <v>le</v>
      </c>
      <c r="U84" s="286" t="str">
        <f t="shared" si="1"/>
        <v>49</v>
      </c>
      <c r="V84" s="5">
        <v>4</v>
      </c>
      <c r="W84" s="5">
        <v>9</v>
      </c>
    </row>
    <row r="85" spans="19:23">
      <c r="S85" s="131" t="str">
        <f>Radicals!M4</f>
        <v>Me</v>
      </c>
      <c r="T85" s="134" t="str">
        <f>Radicals!M3</f>
        <v>na</v>
      </c>
      <c r="U85" s="286" t="str">
        <f t="shared" si="1"/>
        <v>43</v>
      </c>
      <c r="V85" s="5">
        <v>4</v>
      </c>
      <c r="W85" s="5">
        <v>3</v>
      </c>
    </row>
    <row r="86" spans="19:23">
      <c r="S86" s="131" t="str">
        <f>Radicals!M6</f>
        <v>Inside</v>
      </c>
      <c r="T86" s="134" t="str">
        <f>Radicals!M5</f>
        <v>no</v>
      </c>
      <c r="U86" s="286" t="str">
        <f t="shared" si="1"/>
        <v>47</v>
      </c>
      <c r="V86" s="5">
        <v>4</v>
      </c>
      <c r="W86" s="5">
        <v>7</v>
      </c>
    </row>
    <row r="87" spans="19:23">
      <c r="S87" s="131" t="str">
        <f>Radicals!M8</f>
        <v>Proximity</v>
      </c>
      <c r="T87" s="134" t="str">
        <f>Radicals!M7</f>
        <v>ni</v>
      </c>
      <c r="U87" s="286" t="str">
        <f t="shared" si="1"/>
        <v>41</v>
      </c>
      <c r="V87" s="5">
        <v>4</v>
      </c>
      <c r="W87" s="5">
        <v>1</v>
      </c>
    </row>
    <row r="88" spans="19:23">
      <c r="S88" s="131" t="str">
        <f>Radicals!M10</f>
        <v>Equality</v>
      </c>
      <c r="T88" s="134" t="str">
        <f>Radicals!M9</f>
        <v>nu</v>
      </c>
      <c r="U88" s="286" t="str">
        <f t="shared" si="1"/>
        <v>48</v>
      </c>
      <c r="V88" s="5">
        <v>4</v>
      </c>
      <c r="W88" s="5">
        <v>8</v>
      </c>
    </row>
    <row r="89" spans="19:23">
      <c r="S89" s="131" t="str">
        <f>Radicals!M12</f>
        <v>Thing</v>
      </c>
      <c r="T89" s="134" t="str">
        <f>Radicals!M11</f>
        <v>ne</v>
      </c>
      <c r="U89" s="286" t="str">
        <f t="shared" si="1"/>
        <v>42</v>
      </c>
      <c r="V89" s="5">
        <v>4</v>
      </c>
      <c r="W89" s="5">
        <v>2</v>
      </c>
    </row>
    <row r="90" spans="19:23">
      <c r="S90" s="131" t="str">
        <f>Radicals!M16</f>
        <v>You</v>
      </c>
      <c r="T90" s="134" t="str">
        <f>Radicals!M15</f>
        <v>ma</v>
      </c>
      <c r="U90" s="286" t="str">
        <f t="shared" si="1"/>
        <v>46</v>
      </c>
      <c r="V90" s="5">
        <v>4</v>
      </c>
      <c r="W90" s="5">
        <v>6</v>
      </c>
    </row>
    <row r="91" spans="19:23">
      <c r="S91" s="131" t="str">
        <f>Radicals!M18</f>
        <v>Connection</v>
      </c>
      <c r="T91" s="134" t="str">
        <f>Radicals!M17</f>
        <v>mo</v>
      </c>
      <c r="U91" s="286" t="str">
        <f t="shared" si="1"/>
        <v>44</v>
      </c>
      <c r="V91" s="5">
        <v>4</v>
      </c>
      <c r="W91" s="5">
        <v>4</v>
      </c>
    </row>
    <row r="92" spans="19:23">
      <c r="S92" s="131" t="str">
        <f>Radicals!M20</f>
        <v>Show</v>
      </c>
      <c r="T92" s="134" t="str">
        <f>Radicals!M19</f>
        <v>mi</v>
      </c>
      <c r="U92" s="286" t="str">
        <f t="shared" si="1"/>
        <v>40</v>
      </c>
      <c r="V92" s="5">
        <v>4</v>
      </c>
      <c r="W92" s="5">
        <v>0</v>
      </c>
    </row>
    <row r="93" spans="19:23">
      <c r="S93" s="131">
        <f>Radicals!M22</f>
        <v>0</v>
      </c>
      <c r="T93" s="134" t="str">
        <f>Radicals!M21</f>
        <v>mu</v>
      </c>
      <c r="U93" s="286" t="str">
        <f t="shared" si="1"/>
        <v>85</v>
      </c>
      <c r="V93" s="5">
        <v>8</v>
      </c>
      <c r="W93" s="5">
        <v>5</v>
      </c>
    </row>
    <row r="94" spans="19:23">
      <c r="S94" s="131" t="str">
        <f>Radicals!M24</f>
        <v>Objet</v>
      </c>
      <c r="T94" s="134" t="str">
        <f>Radicals!M23</f>
        <v>me</v>
      </c>
      <c r="U94" s="286" t="str">
        <f t="shared" si="1"/>
        <v>89</v>
      </c>
      <c r="V94" s="5">
        <v>8</v>
      </c>
      <c r="W94" s="5">
        <v>9</v>
      </c>
    </row>
    <row r="95" spans="19:23">
      <c r="S95" s="131" t="str">
        <f>Radicals!N4</f>
        <v>Reciprocal</v>
      </c>
      <c r="T95" s="134" t="str">
        <f>Radicals!N3</f>
        <v>ya</v>
      </c>
      <c r="U95" s="286" t="str">
        <f t="shared" si="1"/>
        <v>83</v>
      </c>
      <c r="V95" s="5">
        <v>8</v>
      </c>
      <c r="W95" s="5">
        <v>3</v>
      </c>
    </row>
    <row r="96" spans="19:23">
      <c r="S96" s="131" t="str">
        <f>Radicals!N6</f>
        <v>More</v>
      </c>
      <c r="T96" s="134" t="str">
        <f>Radicals!N5</f>
        <v>yo</v>
      </c>
      <c r="U96" s="286" t="str">
        <f t="shared" si="1"/>
        <v>87</v>
      </c>
      <c r="V96" s="5">
        <v>8</v>
      </c>
      <c r="W96" s="5">
        <v>7</v>
      </c>
    </row>
    <row r="97" spans="18:23">
      <c r="S97" s="131" t="str">
        <f>Radicals!N8</f>
        <v>Magnitude</v>
      </c>
      <c r="T97" s="134" t="str">
        <f>Radicals!N7</f>
        <v>yi</v>
      </c>
      <c r="U97" s="286" t="str">
        <f t="shared" si="1"/>
        <v>81</v>
      </c>
      <c r="V97" s="5">
        <v>8</v>
      </c>
      <c r="W97" s="5">
        <v>1</v>
      </c>
    </row>
    <row r="98" spans="18:23">
      <c r="S98" s="131" t="str">
        <f>Radicals!N10</f>
        <v>Quantity</v>
      </c>
      <c r="T98" s="134" t="str">
        <f>Radicals!N9</f>
        <v>yu</v>
      </c>
      <c r="U98" s="286" t="str">
        <f t="shared" si="1"/>
        <v>88</v>
      </c>
      <c r="V98" s="5">
        <v>8</v>
      </c>
      <c r="W98" s="5">
        <v>8</v>
      </c>
    </row>
    <row r="99" spans="18:23">
      <c r="S99" s="131" t="str">
        <f>Radicals!N12</f>
        <v>Group</v>
      </c>
      <c r="T99" s="134" t="str">
        <f>Radicals!N11</f>
        <v>ye</v>
      </c>
      <c r="U99" s="286" t="str">
        <f t="shared" si="1"/>
        <v>82</v>
      </c>
      <c r="V99" s="5">
        <v>8</v>
      </c>
      <c r="W99" s="5">
        <v>2</v>
      </c>
    </row>
    <row r="100" spans="18:23">
      <c r="S100" s="131" t="str">
        <f>Radicals!N16</f>
        <v>Self</v>
      </c>
      <c r="T100" s="134" t="str">
        <f>Radicals!N15</f>
        <v>wa</v>
      </c>
      <c r="U100" s="286" t="str">
        <f t="shared" si="1"/>
        <v>86</v>
      </c>
      <c r="V100" s="5">
        <v>8</v>
      </c>
      <c r="W100" s="5">
        <v>6</v>
      </c>
    </row>
    <row r="101" spans="18:23">
      <c r="S101" s="131">
        <f>Radicals!N18</f>
        <v>0</v>
      </c>
      <c r="T101" s="134" t="str">
        <f>Radicals!N17</f>
        <v>wo</v>
      </c>
      <c r="U101" s="286" t="str">
        <f t="shared" si="1"/>
        <v>84</v>
      </c>
      <c r="V101" s="5">
        <v>8</v>
      </c>
      <c r="W101" s="5">
        <v>4</v>
      </c>
    </row>
    <row r="102" spans="18:23">
      <c r="S102" s="131" t="str">
        <f>Radicals!N20</f>
        <v>Whole</v>
      </c>
      <c r="T102" s="134" t="str">
        <f>Radicals!N19</f>
        <v>wi</v>
      </c>
      <c r="U102" s="286" t="str">
        <f t="shared" si="1"/>
        <v>80</v>
      </c>
      <c r="V102" s="5">
        <v>8</v>
      </c>
      <c r="W102" s="5">
        <v>0</v>
      </c>
    </row>
    <row r="103" spans="18:23">
      <c r="S103" s="131">
        <f>Radicals!N22</f>
        <v>0</v>
      </c>
      <c r="T103" s="134" t="str">
        <f>Radicals!N21</f>
        <v>wu</v>
      </c>
    </row>
    <row r="104" spans="18:23">
      <c r="S104" s="131" t="str">
        <f>Radicals!N24</f>
        <v>Element</v>
      </c>
      <c r="T104" s="134" t="str">
        <f>Radicals!N23</f>
        <v>we</v>
      </c>
    </row>
    <row r="105" spans="18:23" ht="15.75" thickBot="1">
      <c r="R105" s="160" t="s">
        <v>928</v>
      </c>
      <c r="S105" s="158"/>
      <c r="T105" s="159"/>
    </row>
    <row r="106" spans="18:23">
      <c r="S106" s="132" t="str">
        <f>S29&amp;"."</f>
        <v>Tool.</v>
      </c>
      <c r="T106" s="135" t="str">
        <f>Radicals!F2</f>
        <v>k</v>
      </c>
    </row>
    <row r="107" spans="18:23">
      <c r="S107" s="131" t="str">
        <f>S19&amp;"."</f>
        <v>Belong.</v>
      </c>
      <c r="T107" s="136" t="str">
        <f>E2</f>
        <v>t</v>
      </c>
    </row>
    <row r="108" spans="18:23">
      <c r="S108" s="131" t="str">
        <f>S39&amp;"."</f>
        <v>Property.</v>
      </c>
      <c r="T108" s="136" t="str">
        <f>H2</f>
        <v>f</v>
      </c>
    </row>
    <row r="109" spans="18:23">
      <c r="S109" s="131" t="str">
        <f>S44&amp;"."</f>
        <v>Manner.</v>
      </c>
      <c r="T109" s="136" t="str">
        <f>H14</f>
        <v>v</v>
      </c>
    </row>
    <row r="110" spans="18:23">
      <c r="S110" s="131" t="str">
        <f>S49&amp;"."</f>
        <v>Trend.</v>
      </c>
      <c r="T110" s="136" t="str">
        <f>Radicals!I2</f>
        <v>s</v>
      </c>
    </row>
    <row r="111" spans="18:23">
      <c r="S111" s="131" t="str">
        <f>S69&amp;"."</f>
        <v>Condition.</v>
      </c>
      <c r="T111" s="136" t="str">
        <f>Radicals!K2</f>
        <v>x</v>
      </c>
    </row>
    <row r="112" spans="18:23">
      <c r="S112" s="131" t="str">
        <f>S79&amp;"."</f>
        <v>JOKER.</v>
      </c>
      <c r="T112" s="136" t="str">
        <f>Radicals!P2</f>
        <v>h</v>
      </c>
    </row>
    <row r="113" spans="19:20">
      <c r="S113" s="131" t="str">
        <f>S89&amp;"."</f>
        <v>Thing.</v>
      </c>
      <c r="T113" s="136" t="str">
        <f>Radicals!M2</f>
        <v>n</v>
      </c>
    </row>
    <row r="114" spans="19:20">
      <c r="S114" s="131" t="str">
        <f>S99&amp;"."</f>
        <v>Group.</v>
      </c>
      <c r="T114" s="136" t="str">
        <f>Radicals!N2</f>
        <v>y</v>
      </c>
    </row>
    <row r="115" spans="19:20">
      <c r="S115" s="131" t="str">
        <f>S104&amp;"."</f>
        <v>Element.</v>
      </c>
      <c r="T115" s="136" t="s">
        <v>145</v>
      </c>
    </row>
    <row r="116" spans="19:20">
      <c r="S116" s="131" t="str">
        <f>S54&amp;"."</f>
        <v>Will.</v>
      </c>
      <c r="T116" s="136" t="str">
        <f>Radicals!I14</f>
        <v>z</v>
      </c>
    </row>
    <row r="117" spans="19:20">
      <c r="S117" s="131" t="str">
        <f>S74&amp;"."</f>
        <v>Action.</v>
      </c>
      <c r="T117" s="136" t="str">
        <f>Radicals!K14</f>
        <v>r</v>
      </c>
    </row>
    <row r="118" spans="19:20">
      <c r="S118" s="131" t="str">
        <f>S84&amp;"."</f>
        <v>Time.</v>
      </c>
      <c r="T118" s="136" t="str">
        <f>Radicals!P14</f>
        <v>l</v>
      </c>
    </row>
    <row r="119" spans="19:20">
      <c r="S119" s="131" t="str">
        <f>S59&amp;"."</f>
        <v>Past.</v>
      </c>
      <c r="T119" s="136" t="str">
        <f>J2</f>
        <v>c</v>
      </c>
    </row>
    <row r="120" spans="19:20">
      <c r="S120" s="131" t="str">
        <f>S94&amp;"."</f>
        <v>Objet.</v>
      </c>
      <c r="T120" s="136" t="str">
        <f>Radicals!M14</f>
        <v>m</v>
      </c>
    </row>
    <row r="121" spans="19:20" ht="15" thickBot="1">
      <c r="S121" s="133" t="s">
        <v>368</v>
      </c>
      <c r="T121" s="251" t="str">
        <f>Radicals!C11</f>
        <v>e</v>
      </c>
    </row>
    <row r="299" spans="20:20">
      <c r="T299" s="134"/>
    </row>
  </sheetData>
  <mergeCells count="12">
    <mergeCell ref="A1:C1"/>
    <mergeCell ref="C17:C18"/>
    <mergeCell ref="C19:C20"/>
    <mergeCell ref="R2:T4"/>
    <mergeCell ref="C21:C22"/>
    <mergeCell ref="C23:C24"/>
    <mergeCell ref="C3:C4"/>
    <mergeCell ref="C5:C6"/>
    <mergeCell ref="C7:C8"/>
    <mergeCell ref="C9:C10"/>
    <mergeCell ref="C11:C12"/>
    <mergeCell ref="C15:C1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1"/>
  </sheetPr>
  <dimension ref="A1:M437"/>
  <sheetViews>
    <sheetView zoomScaleNormal="100" workbookViewId="0">
      <pane ySplit="2" topLeftCell="A168" activePane="bottomLeft" state="frozen"/>
      <selection pane="bottomLeft" activeCell="E168" sqref="E168"/>
    </sheetView>
  </sheetViews>
  <sheetFormatPr defaultRowHeight="12.75"/>
  <cols>
    <col min="1" max="1" width="2.140625" style="12" customWidth="1"/>
    <col min="2" max="2" width="15.7109375" style="312" customWidth="1"/>
    <col min="3" max="3" width="14.28515625" style="130" customWidth="1"/>
    <col min="4" max="4" width="17.42578125" style="14" customWidth="1"/>
    <col min="5" max="5" width="14.28515625" style="14" customWidth="1"/>
    <col min="6" max="6" width="15.85546875" style="13" customWidth="1"/>
    <col min="7" max="7" width="13.5703125" style="129" customWidth="1"/>
    <col min="8" max="8" width="17.140625" style="129" customWidth="1"/>
    <col min="9" max="9" width="12.7109375" style="12" customWidth="1"/>
    <col min="10" max="10" width="16.28515625" style="12" customWidth="1"/>
    <col min="11" max="11" width="9.42578125" style="12" customWidth="1"/>
    <col min="12" max="12" width="11.85546875" style="12" bestFit="1" customWidth="1"/>
    <col min="13" max="13" width="15" style="254" customWidth="1"/>
    <col min="14" max="14" width="4.140625" style="12" customWidth="1"/>
    <col min="15" max="16384" width="9.140625" style="12"/>
  </cols>
  <sheetData>
    <row r="1" spans="1:13" s="145" customFormat="1" ht="22.5" customHeight="1" thickBot="1">
      <c r="B1" s="310">
        <f>D1+F1+H1+J1+L1</f>
        <v>595</v>
      </c>
      <c r="C1" s="309" t="s">
        <v>1279</v>
      </c>
      <c r="D1" s="138">
        <f>COUNTA(C5:C444)</f>
        <v>209</v>
      </c>
      <c r="E1" s="139" t="s">
        <v>1280</v>
      </c>
      <c r="F1" s="140">
        <f>COUNTA(E5:E444)</f>
        <v>121</v>
      </c>
      <c r="G1" s="141" t="s">
        <v>1281</v>
      </c>
      <c r="H1" s="142">
        <f>COUNTA(G5:G444)</f>
        <v>146</v>
      </c>
      <c r="I1" s="161" t="s">
        <v>1282</v>
      </c>
      <c r="J1" s="143">
        <f>COUNTA(I5:I444)</f>
        <v>80</v>
      </c>
      <c r="K1" s="172" t="s">
        <v>1283</v>
      </c>
      <c r="L1" s="144">
        <f>COUNTA(K5:K444)</f>
        <v>39</v>
      </c>
      <c r="M1" s="277" t="s">
        <v>900</v>
      </c>
    </row>
    <row r="2" spans="1:13" s="296" customFormat="1">
      <c r="B2" s="311"/>
      <c r="C2" s="130" t="str">
        <f>Thing.</f>
        <v>n</v>
      </c>
      <c r="D2" s="295"/>
      <c r="E2" s="295" t="str">
        <f>Property.</f>
        <v>f</v>
      </c>
      <c r="F2" s="295"/>
      <c r="G2" s="295" t="str">
        <f>Action.</f>
        <v>r</v>
      </c>
      <c r="H2" s="295"/>
      <c r="I2" s="295" t="str">
        <f>Manner.</f>
        <v>v</v>
      </c>
      <c r="J2" s="295"/>
      <c r="K2" s="130"/>
      <c r="L2" s="295"/>
    </row>
    <row r="3" spans="1:13">
      <c r="I3" s="14"/>
      <c r="J3" s="14"/>
      <c r="K3" s="130"/>
      <c r="L3" s="14"/>
    </row>
    <row r="4" spans="1:13" ht="18">
      <c r="B4" s="313" t="s">
        <v>524</v>
      </c>
      <c r="E4" s="12"/>
      <c r="K4" s="130"/>
    </row>
    <row r="5" spans="1:13" s="149" customFormat="1">
      <c r="A5" s="149" t="str">
        <f>IF(OR(MID(B5,1,2)=Radicals!$M$23,MID(B5,1,2)=Radicals!$K$15,MID(B5,1,2)=Radicals!$N$15),"P","")</f>
        <v/>
      </c>
      <c r="B5" s="314" t="str">
        <f>Thing</f>
        <v>ne</v>
      </c>
      <c r="C5" s="152" t="str">
        <f>$B5&amp;C$2</f>
        <v>nen</v>
      </c>
      <c r="D5" s="149" t="s">
        <v>372</v>
      </c>
      <c r="F5" s="151"/>
      <c r="G5" s="152" t="str">
        <f>$B5&amp;G$2</f>
        <v>ner</v>
      </c>
      <c r="H5" s="149" t="s">
        <v>512</v>
      </c>
      <c r="K5" s="152"/>
      <c r="M5" s="150" t="s">
        <v>894</v>
      </c>
    </row>
    <row r="6" spans="1:13" s="149" customFormat="1">
      <c r="A6" s="149" t="str">
        <f>IF(OR(MID(B6,1,2)=Radicals!$M$23,MID(B6,1,2)=Radicals!$K$15,MID(B6,1,2)=Radicals!$N$15),"P","")</f>
        <v/>
      </c>
      <c r="B6" s="314"/>
      <c r="C6" s="152"/>
      <c r="F6" s="151"/>
      <c r="G6" s="152"/>
      <c r="K6" s="152"/>
      <c r="M6" s="150"/>
    </row>
    <row r="7" spans="1:13" s="149" customFormat="1">
      <c r="A7" s="149" t="str">
        <f>IF(OR(MID(B7,1,2)=Radicals!$M$23,MID(B7,1,2)=Radicals!$K$15,MID(B7,1,2)=Radicals!$N$15),"P","")</f>
        <v/>
      </c>
      <c r="B7" s="314" t="str">
        <f>Action</f>
        <v>re</v>
      </c>
      <c r="C7" s="152" t="str">
        <f>$B7&amp;C$2</f>
        <v>ren</v>
      </c>
      <c r="D7" s="149" t="s">
        <v>373</v>
      </c>
      <c r="E7" s="152" t="str">
        <f>$B7&amp;E$2</f>
        <v>ref</v>
      </c>
      <c r="F7" s="151" t="s">
        <v>374</v>
      </c>
      <c r="G7" s="152" t="str">
        <f>$B7&amp;G$2</f>
        <v>rer</v>
      </c>
      <c r="H7" s="149" t="s">
        <v>271</v>
      </c>
      <c r="I7" s="152" t="str">
        <f>$B7&amp;I$2</f>
        <v>rev</v>
      </c>
      <c r="J7" s="149" t="s">
        <v>514</v>
      </c>
      <c r="K7" s="152"/>
      <c r="M7" s="150" t="s">
        <v>895</v>
      </c>
    </row>
    <row r="8" spans="1:13" s="149" customFormat="1">
      <c r="A8" s="149" t="str">
        <f>IF(OR(MID(B8,1,2)=Radicals!$M$23,MID(B8,1,2)=Radicals!$K$15,MID(B8,1,2)=Radicals!$N$15),"P","")</f>
        <v/>
      </c>
      <c r="B8" s="314"/>
      <c r="C8" s="152"/>
      <c r="E8" s="152"/>
      <c r="F8" s="151"/>
      <c r="G8" s="152"/>
      <c r="I8" s="152"/>
      <c r="K8" s="152"/>
      <c r="M8" s="150"/>
    </row>
    <row r="9" spans="1:13" s="149" customFormat="1">
      <c r="A9" s="149" t="str">
        <f>IF(OR(MID(B9,1,2)=Radicals!$M$23,MID(B9,1,2)=Radicals!$K$15,MID(B9,1,2)=Radicals!$N$15),"P","")</f>
        <v/>
      </c>
      <c r="B9" s="314" t="str">
        <f>Quality</f>
        <v>fu</v>
      </c>
      <c r="C9" s="152" t="str">
        <f>$B9&amp;C$2</f>
        <v>fun</v>
      </c>
      <c r="D9" s="149" t="s">
        <v>375</v>
      </c>
      <c r="E9" s="152"/>
      <c r="F9" s="151"/>
      <c r="G9" s="152"/>
      <c r="I9" s="152"/>
      <c r="K9" s="152"/>
      <c r="M9" s="150" t="s">
        <v>896</v>
      </c>
    </row>
    <row r="10" spans="1:13" s="149" customFormat="1">
      <c r="A10" s="149" t="str">
        <f>IF(OR(MID(B10,1,2)=Radicals!$M$23,MID(B10,1,2)=Radicals!$K$15,MID(B10,1,2)=Radicals!$N$15),"P","")</f>
        <v/>
      </c>
      <c r="B10" s="314"/>
      <c r="C10" s="152"/>
      <c r="E10" s="152"/>
      <c r="F10" s="151"/>
      <c r="G10" s="152"/>
      <c r="I10" s="152"/>
      <c r="K10" s="152"/>
      <c r="M10" s="150"/>
    </row>
    <row r="11" spans="1:13" s="149" customFormat="1">
      <c r="A11" s="149" t="str">
        <f>IF(OR(MID(B11,1,2)=Radicals!$M$23,MID(B11,1,2)=Radicals!$K$15,MID(B11,1,2)=Radicals!$N$15),"P","")</f>
        <v/>
      </c>
      <c r="B11" s="314" t="str">
        <f>Manner</f>
        <v>ve</v>
      </c>
      <c r="C11" s="152" t="str">
        <f>$B11&amp;C$2</f>
        <v>ven</v>
      </c>
      <c r="D11" s="149" t="s">
        <v>1039</v>
      </c>
      <c r="E11" s="152"/>
      <c r="F11" s="151"/>
      <c r="G11" s="152"/>
      <c r="I11" s="152"/>
      <c r="K11" s="152"/>
      <c r="M11" s="150" t="s">
        <v>897</v>
      </c>
    </row>
    <row r="12" spans="1:13" s="149" customFormat="1">
      <c r="A12" s="149" t="str">
        <f>IF(OR(MID(B12,1,2)=Radicals!$M$23,MID(B12,1,2)=Radicals!$K$15,MID(B12,1,2)=Radicals!$N$15),"P","")</f>
        <v/>
      </c>
      <c r="B12" s="314"/>
      <c r="C12" s="152"/>
      <c r="E12" s="152"/>
      <c r="F12" s="151"/>
      <c r="G12" s="152"/>
      <c r="I12" s="152"/>
      <c r="K12" s="152"/>
      <c r="M12" s="150"/>
    </row>
    <row r="13" spans="1:13" s="149" customFormat="1">
      <c r="A13" s="149" t="str">
        <f>IF(OR(MID(B13,1,2)=Radicals!$M$23,MID(B13,1,2)=Radicals!$K$15,MID(B13,1,2)=Radicals!$N$15),"P","")</f>
        <v>P</v>
      </c>
      <c r="B13" s="314" t="str">
        <f>Objet</f>
        <v>me</v>
      </c>
      <c r="C13" s="152" t="str">
        <f>$B13&amp;C$2</f>
        <v>men</v>
      </c>
      <c r="D13" s="149" t="s">
        <v>379</v>
      </c>
      <c r="E13" s="152" t="str">
        <f>$B13&amp;E$2</f>
        <v>mef</v>
      </c>
      <c r="F13" s="151" t="s">
        <v>513</v>
      </c>
      <c r="G13" s="152" t="str">
        <f>$B13&amp;G$2</f>
        <v>mer</v>
      </c>
      <c r="H13" s="149" t="s">
        <v>511</v>
      </c>
      <c r="I13" s="152" t="str">
        <f>$B13&amp;I$2</f>
        <v>mev</v>
      </c>
      <c r="J13" s="151" t="s">
        <v>515</v>
      </c>
      <c r="K13" s="152"/>
      <c r="M13" s="150" t="s">
        <v>898</v>
      </c>
    </row>
    <row r="14" spans="1:13" s="149" customFormat="1">
      <c r="A14" s="149" t="str">
        <f>IF(OR(MID(B14,1,2)=Radicals!$M$23,MID(B14,1,2)=Radicals!$K$15,MID(B14,1,2)=Radicals!$N$15),"P","")</f>
        <v/>
      </c>
      <c r="B14" s="314"/>
      <c r="C14" s="152"/>
      <c r="E14" s="152"/>
      <c r="F14" s="151"/>
      <c r="G14" s="152"/>
      <c r="I14" s="152"/>
      <c r="J14" s="151"/>
      <c r="K14" s="152"/>
      <c r="M14" s="150"/>
    </row>
    <row r="15" spans="1:13" s="149" customFormat="1">
      <c r="A15" s="149" t="str">
        <f>IF(OR(MID(B15,1,2)=Radicals!$M$23,MID(B15,1,2)=Radicals!$K$15,MID(B15,1,2)=Radicals!$N$15),"P","")</f>
        <v/>
      </c>
      <c r="B15" s="314" t="str">
        <f>Past</f>
        <v>ce</v>
      </c>
      <c r="C15" s="152" t="str">
        <f>$B15&amp;C$2</f>
        <v>cen</v>
      </c>
      <c r="D15" s="149" t="s">
        <v>395</v>
      </c>
      <c r="E15" s="152" t="str">
        <f>$B15&amp;E$2</f>
        <v>cef</v>
      </c>
      <c r="F15" s="151" t="s">
        <v>702</v>
      </c>
      <c r="G15" s="152" t="str">
        <f>$B15&amp;G$2</f>
        <v>cer</v>
      </c>
      <c r="H15" s="150" t="s">
        <v>396</v>
      </c>
      <c r="I15" s="152" t="str">
        <f>$B15&amp;I$2</f>
        <v>cev</v>
      </c>
      <c r="J15" s="149" t="s">
        <v>516</v>
      </c>
      <c r="M15" s="150" t="s">
        <v>977</v>
      </c>
    </row>
    <row r="16" spans="1:13" s="149" customFormat="1">
      <c r="A16" s="149" t="str">
        <f>IF(OR(MID(B16,1,2)=Radicals!$M$23,MID(B16,1,2)=Radicals!$K$15,MID(B16,1,2)=Radicals!$N$15),"P","")</f>
        <v/>
      </c>
      <c r="B16" s="314" t="str">
        <f>Negation&amp;Past</f>
        <v>poce</v>
      </c>
      <c r="C16" s="152"/>
      <c r="E16" s="152"/>
      <c r="F16" s="151"/>
      <c r="G16" s="152" t="str">
        <f t="shared" ref="G16:I18" si="0">$B16&amp;G$2</f>
        <v>pocer</v>
      </c>
      <c r="H16" s="150" t="s">
        <v>398</v>
      </c>
      <c r="I16" s="152" t="str">
        <f t="shared" si="0"/>
        <v>pocev</v>
      </c>
      <c r="J16" s="149" t="s">
        <v>517</v>
      </c>
      <c r="M16" s="150"/>
    </row>
    <row r="17" spans="1:13" s="149" customFormat="1">
      <c r="A17" s="149" t="str">
        <f>IF(OR(MID(B17,1,2)=Radicals!$M$23,MID(B17,1,2)=Radicals!$K$15,MID(B17,1,2)=Radicals!$N$15),"P","")</f>
        <v/>
      </c>
      <c r="B17" s="314" t="str">
        <f>Trend&amp;Past</f>
        <v>sece</v>
      </c>
      <c r="C17" s="153"/>
      <c r="F17" s="151"/>
      <c r="G17" s="152" t="str">
        <f t="shared" si="0"/>
        <v>secer</v>
      </c>
      <c r="H17" s="150" t="s">
        <v>1076</v>
      </c>
      <c r="K17" s="152"/>
      <c r="M17" s="150"/>
    </row>
    <row r="18" spans="1:13" s="149" customFormat="1">
      <c r="A18" s="149" t="str">
        <f>IF(OR(MID(B18,1,2)=Radicals!$M$23,MID(B18,1,2)=Radicals!$K$15,MID(B18,1,2)=Radicals!$N$15),"P","")</f>
        <v/>
      </c>
      <c r="B18" s="314" t="str">
        <f>Past&amp;Time</f>
        <v>cele</v>
      </c>
      <c r="C18" s="153"/>
      <c r="F18" s="151"/>
      <c r="G18" s="152" t="str">
        <f t="shared" si="0"/>
        <v>celer</v>
      </c>
      <c r="H18" s="150" t="s">
        <v>397</v>
      </c>
      <c r="K18" s="152"/>
      <c r="M18" s="150"/>
    </row>
    <row r="19" spans="1:13" s="149" customFormat="1">
      <c r="A19" s="149" t="str">
        <f>IF(OR(MID(B19,1,2)=Radicals!$M$23,MID(B19,1,2)=Radicals!$K$15,MID(B19,1,2)=Radicals!$N$15),"P","")</f>
        <v/>
      </c>
      <c r="B19" s="314"/>
      <c r="C19" s="153"/>
      <c r="F19" s="151"/>
      <c r="G19" s="152"/>
      <c r="H19" s="150"/>
      <c r="K19" s="152"/>
      <c r="M19" s="150"/>
    </row>
    <row r="20" spans="1:13" s="149" customFormat="1">
      <c r="A20" s="149" t="str">
        <f>IF(OR(MID(B20,1,2)=Radicals!$M$23,MID(B20,1,2)=Radicals!$K$15,MID(B20,1,2)=Radicals!$N$15),"P","")</f>
        <v/>
      </c>
      <c r="B20" s="314" t="str">
        <f>Group&amp;JOKER.</f>
        <v>yeh</v>
      </c>
      <c r="C20" s="152" t="str">
        <f>$B20&amp;C$2</f>
        <v>yehn</v>
      </c>
      <c r="D20" s="149" t="s">
        <v>376</v>
      </c>
      <c r="E20" s="152" t="str">
        <f>$B20&amp;E$2</f>
        <v>yehf</v>
      </c>
      <c r="F20" s="151" t="s">
        <v>378</v>
      </c>
      <c r="G20" s="152" t="str">
        <f>$B20&amp;G$2</f>
        <v>yehr</v>
      </c>
      <c r="H20" s="149" t="s">
        <v>377</v>
      </c>
      <c r="I20" s="152" t="str">
        <f>$B20&amp;I$2</f>
        <v>yehv</v>
      </c>
      <c r="J20" s="149" t="s">
        <v>504</v>
      </c>
      <c r="K20" s="152" t="str">
        <f>$B20&amp;K$2</f>
        <v>yeh</v>
      </c>
      <c r="L20" s="149" t="s">
        <v>1120</v>
      </c>
      <c r="M20" s="150" t="s">
        <v>899</v>
      </c>
    </row>
    <row r="21" spans="1:13" s="149" customFormat="1">
      <c r="A21" s="149" t="str">
        <f>IF(OR(MID(B21,1,2)=Radicals!$M$23,MID(B21,1,2)=Radicals!$K$15,MID(B21,1,2)=Radicals!$N$15),"P","")</f>
        <v/>
      </c>
      <c r="B21" s="314" t="str">
        <f>Inversion&amp;Group&amp;JOKER.</f>
        <v>payeh</v>
      </c>
      <c r="C21" s="152" t="str">
        <f>$B21&amp;C$2</f>
        <v>payehn</v>
      </c>
      <c r="D21" s="149" t="s">
        <v>506</v>
      </c>
      <c r="E21" s="152"/>
      <c r="F21" s="151"/>
      <c r="I21" s="152"/>
      <c r="K21" s="152" t="str">
        <f>$B21&amp;K$2</f>
        <v>payeh</v>
      </c>
      <c r="L21" s="149" t="s">
        <v>246</v>
      </c>
      <c r="M21" s="150"/>
    </row>
    <row r="22" spans="1:13" s="149" customFormat="1">
      <c r="A22" s="149" t="str">
        <f>IF(OR(MID(B22,1,2)=Radicals!$M$23,MID(B22,1,2)=Radicals!$K$15,MID(B22,1,2)=Radicals!$N$15),"P","")</f>
        <v/>
      </c>
      <c r="B22" s="314" t="str">
        <f>Quality&amp;Group&amp;JOKER.</f>
        <v>fuyeh</v>
      </c>
      <c r="C22" s="152" t="str">
        <f>$B22&amp;C$2</f>
        <v>fuyehn</v>
      </c>
      <c r="D22" s="149" t="s">
        <v>507</v>
      </c>
      <c r="E22" s="152" t="str">
        <f>$B22&amp;E$2</f>
        <v>fuyehf</v>
      </c>
      <c r="F22" s="151" t="s">
        <v>508</v>
      </c>
      <c r="I22" s="152"/>
      <c r="K22" s="152"/>
      <c r="M22" s="150"/>
    </row>
    <row r="23" spans="1:13" s="149" customFormat="1">
      <c r="A23" s="149" t="str">
        <f>IF(OR(MID(B23,1,2)=Radicals!$M$23,MID(B23,1,2)=Radicals!$K$15,MID(B23,1,2)=Radicals!$N$15),"P","")</f>
        <v/>
      </c>
      <c r="B23" s="314" t="str">
        <f>Trend&amp;Group&amp;JOKER.</f>
        <v>seyeh</v>
      </c>
      <c r="C23" s="152"/>
      <c r="E23" s="152"/>
      <c r="F23" s="151"/>
      <c r="G23" s="152" t="str">
        <f>$B23&amp;G$2</f>
        <v>seyehr</v>
      </c>
      <c r="H23" s="149" t="s">
        <v>509</v>
      </c>
      <c r="I23" s="152"/>
      <c r="K23" s="152"/>
      <c r="M23" s="150"/>
    </row>
    <row r="24" spans="1:13" s="149" customFormat="1">
      <c r="A24" s="149" t="str">
        <f>IF(OR(MID(B24,1,2)=Radicals!$M$23,MID(B24,1,2)=Radicals!$K$15,MID(B24,1,2)=Radicals!$N$15),"P","")</f>
        <v>P</v>
      </c>
      <c r="B24" s="314" t="str">
        <f>Self&amp;Trend&amp;Group&amp;JOKER.</f>
        <v>waseyeh</v>
      </c>
      <c r="C24" s="152"/>
      <c r="E24" s="152"/>
      <c r="F24" s="151"/>
      <c r="G24" s="152" t="str">
        <f>$B24&amp;G$2</f>
        <v>waseyehr</v>
      </c>
      <c r="H24" s="149" t="s">
        <v>510</v>
      </c>
      <c r="I24" s="152"/>
      <c r="K24" s="152"/>
      <c r="M24" s="150"/>
    </row>
    <row r="25" spans="1:13" s="149" customFormat="1" ht="18">
      <c r="A25" s="149" t="str">
        <f>IF(OR(MID(B25,1,2)=Radicals!$M$23,MID(B25,1,2)=Radicals!$K$15,MID(B25,1,2)=Radicals!$N$15),"P","")</f>
        <v/>
      </c>
      <c r="B25" s="313" t="s">
        <v>525</v>
      </c>
      <c r="C25" s="152"/>
      <c r="E25" s="152"/>
      <c r="F25" s="151"/>
      <c r="G25" s="152"/>
      <c r="I25" s="152"/>
      <c r="K25" s="152"/>
      <c r="M25" s="150"/>
    </row>
    <row r="26" spans="1:13" s="149" customFormat="1">
      <c r="A26" s="149" t="str">
        <f>IF(OR(MID(B26,1,2)=Radicals!$M$23,MID(B26,1,2)=Radicals!$K$15,MID(B26,1,2)=Radicals!$N$15),"P","")</f>
        <v/>
      </c>
      <c r="B26" s="314" t="str">
        <f>Inversion</f>
        <v>pa</v>
      </c>
      <c r="C26" s="152" t="str">
        <f>$B26&amp;C$2</f>
        <v>pan</v>
      </c>
      <c r="D26" s="149" t="s">
        <v>1053</v>
      </c>
      <c r="E26" s="152" t="str">
        <f>$B26&amp;E$2</f>
        <v>paf</v>
      </c>
      <c r="F26" s="151" t="s">
        <v>1010</v>
      </c>
      <c r="G26" s="152" t="str">
        <f>$B26&amp;G$2</f>
        <v>par</v>
      </c>
      <c r="H26" s="149" t="s">
        <v>1052</v>
      </c>
      <c r="I26" s="152" t="str">
        <f>$B26&amp;I$2</f>
        <v>pav</v>
      </c>
      <c r="J26" s="149" t="s">
        <v>518</v>
      </c>
      <c r="K26" s="152" t="str">
        <f>$B26&amp;K$2</f>
        <v>pa</v>
      </c>
      <c r="L26" s="149" t="s">
        <v>445</v>
      </c>
      <c r="M26" s="150" t="s">
        <v>893</v>
      </c>
    </row>
    <row r="27" spans="1:13" s="149" customFormat="1">
      <c r="A27" s="149" t="str">
        <f>IF(OR(MID(B27,1,2)=Radicals!$M$23,MID(B27,1,2)=Radicals!$K$15,MID(B27,1,2)=Radicals!$N$15),"P","")</f>
        <v/>
      </c>
      <c r="B27" s="314"/>
      <c r="C27" s="152"/>
      <c r="E27" s="152"/>
      <c r="F27" s="151"/>
      <c r="G27" s="152" t="str">
        <f>Trend&amp;Inversion&amp;Action.</f>
        <v>separ</v>
      </c>
      <c r="H27" s="149" t="s">
        <v>1051</v>
      </c>
      <c r="I27" s="152"/>
      <c r="K27" s="152"/>
      <c r="M27" s="150"/>
    </row>
    <row r="28" spans="1:13" s="149" customFormat="1">
      <c r="A28" s="149" t="str">
        <f>IF(OR(MID(B28,1,2)=Radicals!$M$23,MID(B28,1,2)=Radicals!$K$15,MID(B28,1,2)=Radicals!$N$15),"P","")</f>
        <v/>
      </c>
      <c r="B28" s="314" t="str">
        <f>Action&amp;Trend.&amp;Inversion</f>
        <v>respa</v>
      </c>
      <c r="C28" s="152" t="str">
        <f>$B28&amp;C$2</f>
        <v>respan</v>
      </c>
      <c r="D28" s="149" t="s">
        <v>1054</v>
      </c>
      <c r="E28" s="152"/>
      <c r="F28" s="151"/>
      <c r="G28" s="152"/>
      <c r="I28" s="152"/>
      <c r="K28" s="152"/>
      <c r="M28" s="150"/>
    </row>
    <row r="29" spans="1:13" s="149" customFormat="1">
      <c r="A29" s="149" t="str">
        <f>IF(OR(MID(B29,1,2)=Radicals!$M$23,MID(B29,1,2)=Radicals!$K$15,MID(B29,1,2)=Radicals!$N$15),"P","")</f>
        <v/>
      </c>
      <c r="B29" s="314"/>
      <c r="C29" s="152"/>
      <c r="E29" s="152"/>
      <c r="F29" s="151"/>
      <c r="G29" s="152"/>
      <c r="I29" s="152"/>
      <c r="K29" s="152"/>
      <c r="M29" s="150"/>
    </row>
    <row r="30" spans="1:13" s="149" customFormat="1">
      <c r="A30" s="149" t="str">
        <f>IF(OR(MID(B30,1,2)=Radicals!$M$23,MID(B30,1,2)=Radicals!$K$15,MID(B30,1,2)=Radicals!$N$15),"P","")</f>
        <v/>
      </c>
      <c r="B30" s="314" t="str">
        <f>Negation</f>
        <v>po</v>
      </c>
      <c r="C30" s="152" t="str">
        <f>$B30&amp;C$2</f>
        <v>pon</v>
      </c>
      <c r="D30" s="149" t="s">
        <v>335</v>
      </c>
      <c r="E30" s="152"/>
      <c r="F30" s="151"/>
      <c r="G30" s="152" t="str">
        <f>$B30&amp;G$2</f>
        <v>por</v>
      </c>
      <c r="H30" s="149" t="s">
        <v>336</v>
      </c>
      <c r="I30" s="152" t="str">
        <f>$B30&amp;I$2</f>
        <v>pov</v>
      </c>
      <c r="J30" s="149" t="s">
        <v>519</v>
      </c>
      <c r="K30" s="152" t="str">
        <f>$B30&amp;K$2</f>
        <v>po</v>
      </c>
      <c r="L30" s="149" t="s">
        <v>399</v>
      </c>
      <c r="M30" s="150" t="s">
        <v>893</v>
      </c>
    </row>
    <row r="31" spans="1:13" s="149" customFormat="1">
      <c r="A31" s="149" t="str">
        <f>IF(OR(MID(B31,1,2)=Radicals!$M$23,MID(B31,1,2)=Radicals!$K$15,MID(B31,1,2)=Radicals!$N$15),"P","")</f>
        <v/>
      </c>
      <c r="B31" s="314" t="str">
        <f>Group&amp;Negation</f>
        <v>yepo</v>
      </c>
      <c r="C31" s="152"/>
      <c r="E31" s="152"/>
      <c r="F31" s="151"/>
      <c r="G31" s="152"/>
      <c r="I31" s="152" t="str">
        <f>$B31&amp;I$2</f>
        <v>yepov</v>
      </c>
      <c r="J31" s="149" t="s">
        <v>248</v>
      </c>
      <c r="M31" s="150"/>
    </row>
    <row r="32" spans="1:13" s="149" customFormat="1">
      <c r="A32" s="149" t="str">
        <f>IF(OR(MID(B32,1,2)=Radicals!$M$23,MID(B32,1,2)=Radicals!$K$15,MID(B32,1,2)=Radicals!$N$15),"P","")</f>
        <v/>
      </c>
      <c r="B32" s="314"/>
      <c r="C32" s="152"/>
      <c r="E32" s="152"/>
      <c r="F32" s="151"/>
      <c r="G32" s="152"/>
      <c r="I32" s="152"/>
      <c r="M32" s="150"/>
    </row>
    <row r="33" spans="1:13" s="149" customFormat="1">
      <c r="A33" s="149" t="str">
        <f>IF(OR(MID(B33,1,2)=Radicals!$M$23,MID(B33,1,2)=Radicals!$K$15,MID(B33,1,2)=Radicals!$N$15),"P","")</f>
        <v/>
      </c>
      <c r="B33" s="314" t="str">
        <f>Combination</f>
        <v>so</v>
      </c>
      <c r="C33" s="152" t="str">
        <f>$B33&amp;C$2</f>
        <v>son</v>
      </c>
      <c r="D33" s="149" t="s">
        <v>502</v>
      </c>
      <c r="E33" s="152" t="str">
        <f>$B33&amp;E$2</f>
        <v>sof</v>
      </c>
      <c r="F33" s="151" t="s">
        <v>536</v>
      </c>
      <c r="G33" s="152" t="str">
        <f>$B33&amp;G$2</f>
        <v>sor</v>
      </c>
      <c r="H33" s="149" t="s">
        <v>527</v>
      </c>
      <c r="I33" s="152" t="str">
        <f>$B33&amp;I$2</f>
        <v>sov</v>
      </c>
      <c r="J33" s="149" t="s">
        <v>535</v>
      </c>
      <c r="K33" s="152" t="str">
        <f>$B33&amp;K$2</f>
        <v>so</v>
      </c>
      <c r="L33" s="149" t="s">
        <v>503</v>
      </c>
      <c r="M33" s="150" t="s">
        <v>893</v>
      </c>
    </row>
    <row r="34" spans="1:13" s="149" customFormat="1">
      <c r="A34" s="149" t="str">
        <f>IF(OR(MID(B34,1,2)=Radicals!$M$23,MID(B34,1,2)=Radicals!$K$15,MID(B34,1,2)=Radicals!$N$15),"P","")</f>
        <v/>
      </c>
      <c r="B34" s="314" t="str">
        <f>Trend&amp;Combination</f>
        <v>seso</v>
      </c>
      <c r="C34" s="152"/>
      <c r="F34" s="151"/>
      <c r="G34" s="152" t="str">
        <f>$B34&amp;G$2</f>
        <v>sesor</v>
      </c>
      <c r="H34" s="149" t="s">
        <v>505</v>
      </c>
      <c r="M34" s="150"/>
    </row>
    <row r="35" spans="1:13" s="149" customFormat="1">
      <c r="A35" s="149" t="str">
        <f>IF(OR(MID(B35,1,2)=Radicals!$M$23,MID(B35,1,2)=Radicals!$K$15,MID(B35,1,2)=Radicals!$N$15),"P","")</f>
        <v/>
      </c>
      <c r="B35" s="314"/>
      <c r="C35" s="153"/>
      <c r="F35" s="151"/>
      <c r="G35" s="152"/>
      <c r="H35" s="150"/>
      <c r="K35" s="152"/>
      <c r="M35" s="150"/>
    </row>
    <row r="36" spans="1:13" s="149" customFormat="1">
      <c r="A36" s="149" t="str">
        <f>IF(OR(MID(B36,1,2)=Radicals!$M$23,MID(B36,1,2)=Radicals!$K$15,MID(B36,1,2)=Radicals!$N$15),"P","")</f>
        <v/>
      </c>
      <c r="B36" s="314" t="str">
        <f>More</f>
        <v>yo</v>
      </c>
      <c r="C36" s="152" t="str">
        <f>$B36&amp;C$2</f>
        <v>yon</v>
      </c>
      <c r="D36" s="149" t="s">
        <v>589</v>
      </c>
      <c r="E36" s="152" t="str">
        <f>$B36&amp;E$2</f>
        <v>yof</v>
      </c>
      <c r="F36" s="149" t="s">
        <v>590</v>
      </c>
      <c r="G36" s="152" t="str">
        <f>$B36&amp;G$2</f>
        <v>yor</v>
      </c>
      <c r="H36" s="149" t="s">
        <v>534</v>
      </c>
      <c r="I36" s="152" t="str">
        <f>$B36&amp;I$2</f>
        <v>yov</v>
      </c>
      <c r="J36" s="149" t="s">
        <v>529</v>
      </c>
      <c r="M36" s="150" t="s">
        <v>893</v>
      </c>
    </row>
    <row r="37" spans="1:13" s="149" customFormat="1">
      <c r="A37" s="149" t="str">
        <f>IF(OR(MID(B37,1,2)=Radicals!$M$23,MID(B37,1,2)=Radicals!$K$15,MID(B37,1,2)=Radicals!$N$15),"P","")</f>
        <v/>
      </c>
      <c r="B37" s="314" t="str">
        <f>Inversion&amp;More</f>
        <v>payo</v>
      </c>
      <c r="C37" s="152" t="str">
        <f>$B37&amp;C$2</f>
        <v>payon</v>
      </c>
      <c r="D37" s="149" t="s">
        <v>870</v>
      </c>
      <c r="E37" s="152" t="str">
        <f>$B37&amp;E$2</f>
        <v>payof</v>
      </c>
      <c r="F37" s="149" t="s">
        <v>871</v>
      </c>
      <c r="G37" s="152" t="str">
        <f>$B37&amp;G$2</f>
        <v>payor</v>
      </c>
      <c r="H37" s="149" t="s">
        <v>872</v>
      </c>
      <c r="I37" s="152" t="str">
        <f>$B37&amp;I$2</f>
        <v>payov</v>
      </c>
      <c r="J37" s="149" t="s">
        <v>723</v>
      </c>
      <c r="M37" s="150"/>
    </row>
    <row r="38" spans="1:13" s="149" customFormat="1">
      <c r="A38" s="149" t="str">
        <f>IF(OR(MID(B38,1,2)=Radicals!$M$23,MID(B38,1,2)=Radicals!$K$15,MID(B38,1,2)=Radicals!$N$15),"P","")</f>
        <v/>
      </c>
      <c r="B38" s="314" t="str">
        <f>Trend&amp;More</f>
        <v>seyo</v>
      </c>
      <c r="C38" s="152" t="str">
        <f>$B38&amp;C$2</f>
        <v>seyon</v>
      </c>
      <c r="D38" s="149" t="s">
        <v>521</v>
      </c>
      <c r="E38" s="152" t="str">
        <f>$B38&amp;E$2</f>
        <v>seyof</v>
      </c>
      <c r="F38" s="149" t="s">
        <v>588</v>
      </c>
      <c r="G38" s="152" t="str">
        <f>$B38&amp;G$2</f>
        <v>seyor</v>
      </c>
      <c r="H38" s="149" t="s">
        <v>528</v>
      </c>
      <c r="I38" s="152" t="str">
        <f>$B38&amp;I$2</f>
        <v>seyov</v>
      </c>
      <c r="J38" s="149" t="s">
        <v>704</v>
      </c>
      <c r="M38" s="150"/>
    </row>
    <row r="39" spans="1:13" s="149" customFormat="1">
      <c r="A39" s="149" t="str">
        <f>IF(OR(MID(B39,1,2)=Radicals!$M$23,MID(B39,1,2)=Radicals!$K$15,MID(B39,1,2)=Radicals!$N$15),"P","")</f>
        <v/>
      </c>
      <c r="B39" s="314" t="str">
        <f>Trend.&amp;Inversion&amp;More</f>
        <v>spayo</v>
      </c>
      <c r="C39" s="152" t="str">
        <f>$B39&amp;C$2</f>
        <v>spayon</v>
      </c>
      <c r="D39" s="149" t="s">
        <v>873</v>
      </c>
      <c r="E39" s="152" t="str">
        <f>$B39&amp;E$2</f>
        <v>spayof</v>
      </c>
      <c r="F39" s="149" t="s">
        <v>874</v>
      </c>
      <c r="G39" s="152" t="str">
        <f>$B39&amp;G$2</f>
        <v>spayor</v>
      </c>
      <c r="H39" s="149" t="s">
        <v>875</v>
      </c>
      <c r="I39" s="152" t="str">
        <f>$B39&amp;I$2</f>
        <v>spayov</v>
      </c>
      <c r="J39" s="149" t="s">
        <v>876</v>
      </c>
      <c r="M39" s="150"/>
    </row>
    <row r="40" spans="1:13" s="149" customFormat="1">
      <c r="A40" s="149" t="str">
        <f>IF(OR(MID(B40,1,2)=Radicals!$M$23,MID(B40,1,2)=Radicals!$K$15,MID(B40,1,2)=Radicals!$N$15),"P","")</f>
        <v/>
      </c>
      <c r="B40" s="314"/>
      <c r="C40" s="152"/>
      <c r="E40" s="152"/>
      <c r="F40" s="151"/>
      <c r="G40" s="152"/>
      <c r="M40" s="150"/>
    </row>
    <row r="41" spans="1:13" s="149" customFormat="1">
      <c r="A41" s="149" t="str">
        <f>IF(OR(MID(B41,1,2)=Radicals!$M$23,MID(B41,1,2)=Radicals!$K$15,MID(B41,1,2)=Radicals!$N$15),"P","")</f>
        <v/>
      </c>
      <c r="B41" s="314" t="str">
        <f>Magnitude</f>
        <v>yi</v>
      </c>
      <c r="C41" s="152" t="str">
        <f>$B41&amp;C$2</f>
        <v>yin</v>
      </c>
      <c r="D41" s="149" t="s">
        <v>530</v>
      </c>
      <c r="E41" s="152" t="str">
        <f>$B41&amp;E$2</f>
        <v>yif</v>
      </c>
      <c r="F41" s="151" t="s">
        <v>533</v>
      </c>
      <c r="G41" s="152" t="str">
        <f>$B41&amp;G$2</f>
        <v>yir</v>
      </c>
      <c r="H41" s="149" t="s">
        <v>532</v>
      </c>
      <c r="I41" s="152" t="str">
        <f>$B41&amp;I$2</f>
        <v>yiv</v>
      </c>
      <c r="J41" s="149" t="s">
        <v>531</v>
      </c>
      <c r="M41" s="150" t="s">
        <v>893</v>
      </c>
    </row>
    <row r="42" spans="1:13" s="149" customFormat="1">
      <c r="A42" s="149" t="str">
        <f>IF(OR(MID(B42,1,2)=Radicals!$M$23,MID(B42,1,2)=Radicals!$K$15,MID(B42,1,2)=Radicals!$N$15),"P","")</f>
        <v/>
      </c>
      <c r="B42" s="314" t="str">
        <f>Magnitude&amp;Space</f>
        <v>yila</v>
      </c>
      <c r="C42" s="152" t="str">
        <f>$B42&amp;C$2</f>
        <v>yilan</v>
      </c>
      <c r="D42" s="151" t="s">
        <v>591</v>
      </c>
      <c r="E42" s="152" t="str">
        <f>$B42&amp;E$2</f>
        <v>yilaf</v>
      </c>
      <c r="F42" s="151" t="s">
        <v>542</v>
      </c>
      <c r="G42" s="152" t="str">
        <f>$B42&amp;G$2</f>
        <v>yilar</v>
      </c>
      <c r="H42" s="149" t="s">
        <v>705</v>
      </c>
      <c r="I42" s="152" t="str">
        <f>$B42&amp;I$2</f>
        <v>yilav</v>
      </c>
      <c r="J42" s="149" t="s">
        <v>543</v>
      </c>
      <c r="M42" s="150"/>
    </row>
    <row r="43" spans="1:13" s="149" customFormat="1">
      <c r="A43" s="149" t="str">
        <f>IF(OR(MID(B43,1,2)=Radicals!$M$23,MID(B43,1,2)=Radicals!$K$15,MID(B43,1,2)=Radicals!$N$15),"P","")</f>
        <v/>
      </c>
      <c r="B43" s="314" t="str">
        <f>Magnitude&amp;Quality</f>
        <v>yifu</v>
      </c>
      <c r="C43" s="152" t="str">
        <f>$B43&amp;C$2</f>
        <v>yifun</v>
      </c>
      <c r="D43" s="149" t="s">
        <v>540</v>
      </c>
      <c r="E43" s="152" t="str">
        <f>$B43&amp;E$2</f>
        <v>yifuf</v>
      </c>
      <c r="F43" s="151" t="s">
        <v>539</v>
      </c>
      <c r="G43" s="152" t="str">
        <f>$B43&amp;G$2</f>
        <v>yifur</v>
      </c>
      <c r="H43" s="149" t="s">
        <v>541</v>
      </c>
      <c r="I43" s="152" t="str">
        <f>$B43&amp;I$2</f>
        <v>yifuv</v>
      </c>
      <c r="J43" s="149" t="s">
        <v>531</v>
      </c>
      <c r="M43" s="150"/>
    </row>
    <row r="44" spans="1:13" s="149" customFormat="1">
      <c r="A44" s="149" t="str">
        <f>IF(OR(MID(B44,1,2)=Radicals!$M$23,MID(B44,1,2)=Radicals!$K$15,MID(B44,1,2)=Radicals!$N$15),"P","")</f>
        <v/>
      </c>
      <c r="B44" s="314" t="str">
        <f>Magnitude&amp;Element</f>
        <v>yiwe</v>
      </c>
      <c r="C44" s="152" t="str">
        <f>$B44&amp;C$2</f>
        <v>yiwen</v>
      </c>
      <c r="D44" s="149" t="s">
        <v>626</v>
      </c>
      <c r="E44" s="152" t="str">
        <f>$B44&amp;E$2</f>
        <v>yiwef</v>
      </c>
      <c r="F44" s="151" t="s">
        <v>625</v>
      </c>
      <c r="G44" s="152" t="str">
        <f>$B44&amp;G$2</f>
        <v>yiwer</v>
      </c>
      <c r="H44" s="149" t="s">
        <v>624</v>
      </c>
      <c r="I44" s="152"/>
      <c r="M44" s="150"/>
    </row>
    <row r="45" spans="1:13" s="149" customFormat="1">
      <c r="A45" s="149" t="str">
        <f>IF(OR(MID(B45,1,2)=Radicals!$M$23,MID(B45,1,2)=Radicals!$K$15,MID(B45,1,2)=Radicals!$N$15),"P","")</f>
        <v/>
      </c>
      <c r="B45" s="314"/>
      <c r="C45" s="152"/>
      <c r="E45" s="152"/>
      <c r="F45" s="151"/>
      <c r="G45" s="152"/>
      <c r="M45" s="150"/>
    </row>
    <row r="46" spans="1:13" s="149" customFormat="1">
      <c r="A46" s="149" t="str">
        <f>IF(OR(MID(B46,1,2)=Radicals!$M$23,MID(B46,1,2)=Radicals!$K$15,MID(B46,1,2)=Radicals!$N$15),"P","")</f>
        <v>P</v>
      </c>
      <c r="B46" s="314" t="str">
        <f>Author</f>
        <v>ra</v>
      </c>
      <c r="C46" s="152" t="str">
        <f>$B46&amp;C$2</f>
        <v>ran</v>
      </c>
      <c r="D46" s="149" t="s">
        <v>386</v>
      </c>
      <c r="F46" s="151"/>
      <c r="G46" s="152"/>
      <c r="K46" s="152" t="str">
        <f>$B46&amp;K$2</f>
        <v>ra</v>
      </c>
      <c r="L46" s="149" t="s">
        <v>537</v>
      </c>
      <c r="M46" s="150" t="s">
        <v>901</v>
      </c>
    </row>
    <row r="47" spans="1:13" s="149" customFormat="1">
      <c r="A47" s="149" t="str">
        <f>IF(OR(MID(B47,1,2)=Radicals!$M$23,MID(B47,1,2)=Radicals!$K$15,MID(B47,1,2)=Radicals!$N$15),"P","")</f>
        <v/>
      </c>
      <c r="B47" s="314"/>
      <c r="C47" s="152"/>
      <c r="F47" s="151"/>
      <c r="G47" s="152"/>
      <c r="H47" s="150"/>
      <c r="M47" s="150"/>
    </row>
    <row r="48" spans="1:13" s="149" customFormat="1">
      <c r="A48" s="149" t="str">
        <f>IF(OR(MID(B48,1,2)=Radicals!$M$23,MID(B48,1,2)=Radicals!$K$15,MID(B48,1,2)=Radicals!$N$15),"P","")</f>
        <v>P</v>
      </c>
      <c r="B48" s="314" t="str">
        <f>Self</f>
        <v>wa</v>
      </c>
      <c r="C48" s="152" t="str">
        <f>$B48&amp;C$2</f>
        <v>wan</v>
      </c>
      <c r="D48" s="149" t="s">
        <v>451</v>
      </c>
      <c r="E48" s="152" t="str">
        <f>$B48&amp;E$2</f>
        <v>waf</v>
      </c>
      <c r="F48" s="151" t="s">
        <v>892</v>
      </c>
      <c r="G48" s="152"/>
      <c r="I48" s="152" t="str">
        <f>$B48&amp;I$2</f>
        <v>wav</v>
      </c>
      <c r="J48" s="149" t="s">
        <v>452</v>
      </c>
      <c r="K48" s="152"/>
      <c r="M48" s="150" t="s">
        <v>902</v>
      </c>
    </row>
    <row r="49" spans="1:13" s="149" customFormat="1">
      <c r="A49" s="149" t="str">
        <f>IF(OR(MID(B49,1,2)=Radicals!$M$23,MID(B49,1,2)=Radicals!$K$15,MID(B49,1,2)=Radicals!$N$15),"P","")</f>
        <v>P</v>
      </c>
      <c r="B49" s="314" t="str">
        <f>Self&amp;Me</f>
        <v>wana</v>
      </c>
      <c r="C49" s="152" t="str">
        <f>$B49&amp;C$2</f>
        <v>wanan</v>
      </c>
      <c r="D49" s="149" t="s">
        <v>453</v>
      </c>
      <c r="E49" s="152"/>
      <c r="F49" s="151"/>
      <c r="G49" s="152"/>
      <c r="I49" s="152" t="str">
        <f>$B49&amp;I$2</f>
        <v>wanav</v>
      </c>
      <c r="J49" s="149" t="s">
        <v>454</v>
      </c>
      <c r="K49" s="152"/>
      <c r="M49" s="150"/>
    </row>
    <row r="50" spans="1:13" s="149" customFormat="1">
      <c r="A50" s="149" t="str">
        <f>IF(OR(MID(B50,1,2)=Radicals!$M$23,MID(B50,1,2)=Radicals!$K$15,MID(B50,1,2)=Radicals!$N$15),"P","")</f>
        <v>P</v>
      </c>
      <c r="B50" s="314" t="str">
        <f>Self&amp;Trend&amp;More</f>
        <v>waseyo</v>
      </c>
      <c r="C50" s="152"/>
      <c r="E50" s="152"/>
      <c r="F50" s="151"/>
      <c r="G50" s="152" t="str">
        <f>$B50&amp;G$2</f>
        <v>waseyor</v>
      </c>
      <c r="H50" s="149" t="s">
        <v>903</v>
      </c>
      <c r="I50" s="152" t="str">
        <f>$B50&amp;I$2</f>
        <v>waseyov</v>
      </c>
      <c r="J50" s="149" t="s">
        <v>704</v>
      </c>
      <c r="K50" s="152"/>
      <c r="M50" s="150"/>
    </row>
    <row r="51" spans="1:13" s="149" customFormat="1">
      <c r="A51" s="149" t="str">
        <f>IF(OR(MID(B51,1,2)=Radicals!$M$23,MID(B51,1,2)=Radicals!$K$15,MID(B51,1,2)=Radicals!$N$15),"P","")</f>
        <v/>
      </c>
      <c r="B51" s="314"/>
      <c r="C51" s="152"/>
      <c r="F51" s="151"/>
      <c r="G51" s="152"/>
      <c r="M51" s="150"/>
    </row>
    <row r="52" spans="1:13" s="149" customFormat="1" ht="18">
      <c r="A52" s="149" t="str">
        <f>IF(OR(MID(B52,1,2)=Radicals!$M$23,MID(B52,1,2)=Radicals!$K$15,MID(B52,1,2)=Radicals!$N$15),"P","")</f>
        <v/>
      </c>
      <c r="B52" s="313" t="s">
        <v>526</v>
      </c>
      <c r="C52" s="152"/>
      <c r="E52" s="152"/>
      <c r="F52" s="151"/>
      <c r="G52" s="152"/>
      <c r="I52" s="152"/>
      <c r="K52" s="152"/>
      <c r="M52" s="150"/>
    </row>
    <row r="53" spans="1:13" s="149" customFormat="1">
      <c r="A53" s="149" t="str">
        <f>IF(OR(MID(B53,1,2)=Radicals!$M$23,MID(B53,1,2)=Radicals!$K$15,MID(B53,1,2)=Radicals!$N$15),"P","")</f>
        <v/>
      </c>
      <c r="B53" s="314" t="str">
        <f>Trend</f>
        <v>se</v>
      </c>
      <c r="C53" s="152" t="str">
        <f>$B53&amp;C$2</f>
        <v>sen</v>
      </c>
      <c r="D53" s="149" t="s">
        <v>553</v>
      </c>
      <c r="E53" s="152"/>
      <c r="F53" s="151"/>
      <c r="G53" s="152" t="str">
        <f>$B53&amp;G$2</f>
        <v>ser</v>
      </c>
      <c r="H53" s="149" t="s">
        <v>799</v>
      </c>
      <c r="I53" s="152"/>
      <c r="K53" s="154" t="str">
        <f>Trend&amp;JOKER.</f>
        <v>seh</v>
      </c>
      <c r="L53" s="149" t="s">
        <v>215</v>
      </c>
      <c r="M53" s="150" t="s">
        <v>976</v>
      </c>
    </row>
    <row r="54" spans="1:13" s="149" customFormat="1">
      <c r="A54" s="149" t="str">
        <f>IF(OR(MID(B54,1,2)=Radicals!$M$23,MID(B54,1,2)=Radicals!$K$15,MID(B54,1,2)=Radicals!$N$15),"P","")</f>
        <v>P</v>
      </c>
      <c r="B54" s="314" t="str">
        <f>Author&amp;Trend</f>
        <v>rase</v>
      </c>
      <c r="C54" s="152" t="str">
        <f>$B54&amp;C$2</f>
        <v>rasen</v>
      </c>
      <c r="D54" s="149" t="s">
        <v>523</v>
      </c>
      <c r="E54" s="152"/>
      <c r="F54" s="151"/>
      <c r="G54" s="152"/>
      <c r="I54" s="152"/>
      <c r="K54" s="152"/>
      <c r="M54" s="150"/>
    </row>
    <row r="55" spans="1:13" s="149" customFormat="1">
      <c r="A55" s="149" t="str">
        <f>IF(OR(MID(B55,1,2)=Radicals!$M$23,MID(B55,1,2)=Radicals!$K$15,MID(B55,1,2)=Radicals!$N$15),"P","")</f>
        <v/>
      </c>
      <c r="B55" s="314" t="str">
        <f>Negation&amp;Trend</f>
        <v>pose</v>
      </c>
      <c r="C55" s="152" t="str">
        <f>$B55&amp;C$2</f>
        <v>posen</v>
      </c>
      <c r="D55" s="149" t="s">
        <v>557</v>
      </c>
      <c r="E55" s="152" t="str">
        <f>$B55&amp;E$2</f>
        <v>posef</v>
      </c>
      <c r="F55" s="149" t="s">
        <v>556</v>
      </c>
      <c r="G55" s="152" t="str">
        <f>$B55&amp;G$2</f>
        <v>poser</v>
      </c>
      <c r="H55" s="149" t="s">
        <v>384</v>
      </c>
      <c r="I55" s="152" t="str">
        <f>$B55&amp;I$2</f>
        <v>posev</v>
      </c>
      <c r="J55" s="149" t="s">
        <v>555</v>
      </c>
      <c r="M55" s="150"/>
    </row>
    <row r="56" spans="1:13" s="149" customFormat="1">
      <c r="A56" s="149" t="str">
        <f>IF(OR(MID(B56,1,2)=Radicals!$M$23,MID(B56,1,2)=Radicals!$K$15,MID(B56,1,2)=Radicals!$N$15),"P","")</f>
        <v>P</v>
      </c>
      <c r="B56" s="314" t="str">
        <f>Author&amp;Negation&amp;Trend</f>
        <v>rapose</v>
      </c>
      <c r="C56" s="152" t="str">
        <f>$B56&amp;C$2</f>
        <v>raposen</v>
      </c>
      <c r="D56" s="149" t="s">
        <v>522</v>
      </c>
      <c r="F56" s="151"/>
      <c r="G56" s="152"/>
      <c r="M56" s="150"/>
    </row>
    <row r="57" spans="1:13" s="149" customFormat="1">
      <c r="A57" s="149" t="str">
        <f>IF(OR(MID(B57,1,2)=Radicals!$M$23,MID(B57,1,2)=Radicals!$K$15,MID(B57,1,2)=Radicals!$N$15),"P","")</f>
        <v>P</v>
      </c>
      <c r="B57" s="314" t="str">
        <f>Self&amp;Trend</f>
        <v>wase</v>
      </c>
      <c r="C57" s="152"/>
      <c r="F57" s="151"/>
      <c r="G57" s="152" t="str">
        <f>$B57&amp;G$2</f>
        <v>waser</v>
      </c>
      <c r="H57" s="149" t="s">
        <v>385</v>
      </c>
      <c r="M57" s="150"/>
    </row>
    <row r="58" spans="1:13" s="149" customFormat="1">
      <c r="A58" s="149" t="str">
        <f>IF(OR(MID(B58,1,2)=Radicals!$M$23,MID(B58,1,2)=Radicals!$K$15,MID(B58,1,2)=Radicals!$N$15),"P","")</f>
        <v>P</v>
      </c>
      <c r="B58" s="314" t="str">
        <f>Self&amp;Negation&amp;Trend</f>
        <v>wapose</v>
      </c>
      <c r="C58" s="152"/>
      <c r="F58" s="151"/>
      <c r="G58" s="152" t="str">
        <f>$B58&amp;G$2</f>
        <v>waposer</v>
      </c>
      <c r="H58" s="149" t="s">
        <v>383</v>
      </c>
      <c r="M58" s="150"/>
    </row>
    <row r="59" spans="1:13" s="149" customFormat="1">
      <c r="A59" s="149" t="str">
        <f>IF(OR(MID(B59,1,2)=Radicals!$M$23,MID(B59,1,2)=Radicals!$K$15,MID(B59,1,2)=Radicals!$N$15),"P","")</f>
        <v/>
      </c>
      <c r="B59" s="314" t="str">
        <f>Inversion&amp;Trend</f>
        <v>pase</v>
      </c>
      <c r="C59" s="152" t="str">
        <f>$B59&amp;C$2</f>
        <v>pasen</v>
      </c>
      <c r="D59" s="149" t="s">
        <v>501</v>
      </c>
      <c r="F59" s="151"/>
      <c r="G59" s="152" t="str">
        <f>$B59&amp;G$2</f>
        <v>paser</v>
      </c>
      <c r="H59" s="149" t="s">
        <v>413</v>
      </c>
      <c r="I59" s="152" t="str">
        <f>$B59&amp;I$2</f>
        <v>pasev</v>
      </c>
      <c r="J59" s="149" t="s">
        <v>447</v>
      </c>
      <c r="K59" s="154" t="str">
        <f>Inversion&amp;Trend&amp;JOKER.</f>
        <v>paseh</v>
      </c>
      <c r="L59" s="149" t="s">
        <v>412</v>
      </c>
      <c r="M59" s="150"/>
    </row>
    <row r="60" spans="1:13" s="149" customFormat="1">
      <c r="A60" s="149" t="str">
        <f>IF(OR(MID(B60,1,2)=Radicals!$M$23,MID(B60,1,2)=Radicals!$K$15,MID(B60,1,2)=Radicals!$N$15),"P","")</f>
        <v/>
      </c>
      <c r="B60" s="314"/>
      <c r="C60" s="152"/>
      <c r="F60" s="151"/>
      <c r="G60" s="152"/>
      <c r="I60" s="152"/>
      <c r="K60" s="152"/>
      <c r="M60" s="150"/>
    </row>
    <row r="61" spans="1:13" s="149" customFormat="1">
      <c r="A61" s="149" t="str">
        <f>IF(OR(MID(B61,1,2)=Radicals!$M$23,MID(B61,1,2)=Radicals!$K$15,MID(B61,1,2)=Radicals!$N$15),"P","")</f>
        <v/>
      </c>
      <c r="B61" s="314" t="str">
        <f>Trend&amp;Group&amp;JOKER.</f>
        <v>seyeh</v>
      </c>
      <c r="C61" s="152" t="str">
        <f>$B61&amp;C$2</f>
        <v>seyehn</v>
      </c>
      <c r="D61" s="149" t="s">
        <v>586</v>
      </c>
      <c r="E61" s="152" t="str">
        <f>$B61&amp;E$2</f>
        <v>seyehf</v>
      </c>
      <c r="F61" s="149" t="s">
        <v>587</v>
      </c>
      <c r="G61" s="152" t="str">
        <f>$B61&amp;G$2</f>
        <v>seyehr</v>
      </c>
      <c r="H61" s="149" t="s">
        <v>538</v>
      </c>
      <c r="I61" s="152" t="str">
        <f>$B61&amp;I$2</f>
        <v>seyehv</v>
      </c>
      <c r="J61" s="149" t="s">
        <v>520</v>
      </c>
      <c r="K61" s="152" t="str">
        <f>$B61&amp;K$2</f>
        <v>seyeh</v>
      </c>
      <c r="L61" s="149" t="s">
        <v>382</v>
      </c>
      <c r="M61" s="150"/>
    </row>
    <row r="62" spans="1:13" s="149" customFormat="1">
      <c r="A62" s="149" t="str">
        <f>IF(OR(MID(B62,1,2)=Radicals!$M$23,MID(B62,1,2)=Radicals!$K$15,MID(B62,1,2)=Radicals!$N$15),"P","")</f>
        <v>P</v>
      </c>
      <c r="B62" s="314" t="str">
        <f>Self&amp;Trend&amp;Group&amp;JOKER.</f>
        <v>waseyeh</v>
      </c>
      <c r="C62" s="152"/>
      <c r="F62" s="151"/>
      <c r="G62" s="152" t="str">
        <f>$B62&amp;G$2</f>
        <v>waseyehr</v>
      </c>
      <c r="H62" s="149" t="s">
        <v>510</v>
      </c>
      <c r="M62" s="150"/>
    </row>
    <row r="63" spans="1:13" s="149" customFormat="1">
      <c r="A63" s="149" t="str">
        <f>IF(OR(MID(B63,1,2)=Radicals!$M$23,MID(B63,1,2)=Radicals!$K$15,MID(B63,1,2)=Radicals!$N$15),"P","")</f>
        <v/>
      </c>
      <c r="B63" s="315"/>
      <c r="C63" s="152"/>
      <c r="F63" s="151"/>
      <c r="G63" s="152"/>
      <c r="M63" s="150"/>
    </row>
    <row r="64" spans="1:13" s="149" customFormat="1">
      <c r="A64" s="149" t="str">
        <f>IF(OR(MID(B64,1,2)=Radicals!$M$23,MID(B64,1,2)=Radicals!$K$15,MID(B64,1,2)=Radicals!$N$15),"P","")</f>
        <v/>
      </c>
      <c r="B64" s="315"/>
      <c r="C64" s="152"/>
      <c r="F64" s="151"/>
      <c r="G64" s="152"/>
      <c r="M64" s="150"/>
    </row>
    <row r="65" spans="1:13" s="149" customFormat="1" ht="18">
      <c r="A65" s="149" t="str">
        <f>IF(OR(MID(B65,1,2)=Radicals!$M$23,MID(B65,1,2)=Radicals!$K$15,MID(B65,1,2)=Radicals!$N$15),"P","")</f>
        <v/>
      </c>
      <c r="B65" s="316" t="s">
        <v>371</v>
      </c>
      <c r="C65" s="152"/>
      <c r="F65" s="151"/>
      <c r="G65" s="150"/>
      <c r="H65" s="150"/>
      <c r="K65" s="152"/>
      <c r="M65" s="150"/>
    </row>
    <row r="66" spans="1:13" s="149" customFormat="1">
      <c r="A66" s="149" t="str">
        <f>IF(OR(MID(B66,1,2)=Radicals!$M$23,MID(B66,1,2)=Radicals!$K$15,MID(B66,1,2)=Radicals!$N$15),"P","")</f>
        <v/>
      </c>
      <c r="B66" s="317" t="str">
        <f>Me</f>
        <v>na</v>
      </c>
      <c r="C66" s="152" t="str">
        <f t="shared" ref="C66:C80" si="1">$B66&amp;C$2</f>
        <v>nan</v>
      </c>
      <c r="D66" s="149" t="s">
        <v>2</v>
      </c>
      <c r="E66" s="152" t="str">
        <f>$B66&amp;E$2</f>
        <v>naf</v>
      </c>
      <c r="F66" s="149" t="s">
        <v>932</v>
      </c>
      <c r="G66" s="297" t="str">
        <f>$B66&amp;Objet.</f>
        <v>nam</v>
      </c>
      <c r="H66" s="298" t="s">
        <v>703</v>
      </c>
      <c r="K66" s="152"/>
      <c r="M66" s="150"/>
    </row>
    <row r="67" spans="1:13" s="149" customFormat="1">
      <c r="A67" s="149" t="str">
        <f>IF(OR(MID(B67,1,2)=Radicals!$M$23,MID(B67,1,2)=Radicals!$K$15,MID(B67,1,2)=Radicals!$N$15),"P","")</f>
        <v/>
      </c>
      <c r="B67" s="317" t="str">
        <f>Property&amp;Me</f>
        <v>fena</v>
      </c>
      <c r="C67" s="152" t="str">
        <f t="shared" si="1"/>
        <v>fenan</v>
      </c>
      <c r="D67" s="149" t="s">
        <v>931</v>
      </c>
      <c r="E67" s="152" t="str">
        <f>$B67&amp;E$2</f>
        <v>fenaf</v>
      </c>
      <c r="F67" s="149" t="s">
        <v>931</v>
      </c>
      <c r="G67" s="299"/>
      <c r="H67" s="299"/>
      <c r="K67" s="152"/>
      <c r="M67" s="150"/>
    </row>
    <row r="68" spans="1:13" s="149" customFormat="1">
      <c r="A68" s="149" t="str">
        <f>IF(OR(MID(B68,1,2)=Radicals!$M$23,MID(B68,1,2)=Radicals!$K$15,MID(B68,1,2)=Radicals!$N$15),"P","")</f>
        <v/>
      </c>
      <c r="B68" s="317" t="str">
        <f>You</f>
        <v>ma</v>
      </c>
      <c r="C68" s="152" t="str">
        <f t="shared" si="1"/>
        <v>man</v>
      </c>
      <c r="D68" s="149" t="s">
        <v>724</v>
      </c>
      <c r="E68" s="152" t="str">
        <f>$B68&amp;E$2</f>
        <v>maf</v>
      </c>
      <c r="F68" s="149" t="s">
        <v>933</v>
      </c>
      <c r="G68" s="297" t="str">
        <f>$B68&amp;Objet.</f>
        <v>mam</v>
      </c>
      <c r="H68" s="298" t="s">
        <v>724</v>
      </c>
      <c r="K68" s="152"/>
      <c r="M68" s="150"/>
    </row>
    <row r="69" spans="1:13" s="149" customFormat="1">
      <c r="A69" s="149" t="str">
        <f>IF(OR(MID(B69,1,2)=Radicals!$M$23,MID(B69,1,2)=Radicals!$K$15,MID(B69,1,2)=Radicals!$N$15),"P","")</f>
        <v/>
      </c>
      <c r="B69" s="317" t="str">
        <f>Property&amp;You</f>
        <v>fema</v>
      </c>
      <c r="C69" s="152" t="str">
        <f t="shared" si="1"/>
        <v>feman</v>
      </c>
      <c r="D69" s="149" t="s">
        <v>930</v>
      </c>
      <c r="E69" s="152" t="str">
        <f>$B69&amp;E$2</f>
        <v>femaf</v>
      </c>
      <c r="F69" s="149" t="s">
        <v>930</v>
      </c>
      <c r="G69" s="299"/>
      <c r="H69" s="299"/>
      <c r="K69" s="152"/>
      <c r="M69" s="150"/>
    </row>
    <row r="70" spans="1:13" s="149" customFormat="1">
      <c r="A70" s="149" t="str">
        <f>IF(OR(MID(B70,1,2)=Radicals!$M$23,MID(B70,1,2)=Radicals!$K$15,MID(B70,1,2)=Radicals!$N$15),"P","")</f>
        <v/>
      </c>
      <c r="B70" s="317" t="str">
        <f>Show&amp;Human</f>
        <v>mizu</v>
      </c>
      <c r="C70" s="152" t="str">
        <f t="shared" si="1"/>
        <v>mizun</v>
      </c>
      <c r="D70" s="149" t="s">
        <v>937</v>
      </c>
      <c r="E70" s="152" t="str">
        <f>$B70&amp;E$2</f>
        <v>mizuf</v>
      </c>
      <c r="F70" s="149" t="s">
        <v>934</v>
      </c>
      <c r="G70" s="297" t="str">
        <f>$B70&amp;Objet.</f>
        <v>mizum</v>
      </c>
      <c r="H70" s="298" t="s">
        <v>938</v>
      </c>
      <c r="K70" s="152"/>
      <c r="M70" s="150"/>
    </row>
    <row r="71" spans="1:13" s="149" customFormat="1">
      <c r="A71" s="149" t="str">
        <f>IF(OR(MID(B71,1,2)=Radicals!$M$23,MID(B71,1,2)=Radicals!$K$15,MID(B71,1,2)=Radicals!$N$15),"P","")</f>
        <v/>
      </c>
      <c r="B71" s="317" t="str">
        <f>Belong&amp;Show&amp;Human</f>
        <v>temizu</v>
      </c>
      <c r="C71" s="152" t="str">
        <f t="shared" si="1"/>
        <v>temizun</v>
      </c>
      <c r="D71" s="149" t="s">
        <v>934</v>
      </c>
      <c r="E71" s="153"/>
      <c r="F71" s="151"/>
      <c r="G71" s="299"/>
      <c r="H71" s="299"/>
      <c r="K71" s="152"/>
      <c r="M71" s="150"/>
    </row>
    <row r="72" spans="1:13" s="149" customFormat="1">
      <c r="A72" s="149" t="str">
        <f>IF(OR(MID(B72,1,2)=Radicals!$M$23,MID(B72,1,2)=Radicals!$K$15,MID(B72,1,2)=Radicals!$N$15),"P","")</f>
        <v/>
      </c>
      <c r="B72" s="317" t="str">
        <f>Show&amp;Female</f>
        <v>mizi</v>
      </c>
      <c r="C72" s="152" t="str">
        <f t="shared" si="1"/>
        <v>mizin</v>
      </c>
      <c r="D72" s="149" t="s">
        <v>939</v>
      </c>
      <c r="E72" s="152" t="str">
        <f>$B72&amp;E$2</f>
        <v>mizif</v>
      </c>
      <c r="F72" s="149" t="s">
        <v>935</v>
      </c>
      <c r="G72" s="297" t="str">
        <f>$B72&amp;Objet.</f>
        <v>mizim</v>
      </c>
      <c r="H72" s="298" t="s">
        <v>935</v>
      </c>
      <c r="K72" s="152"/>
      <c r="M72" s="150"/>
    </row>
    <row r="73" spans="1:13" s="149" customFormat="1">
      <c r="A73" s="149" t="str">
        <f>IF(OR(MID(B73,1,2)=Radicals!$M$23,MID(B73,1,2)=Radicals!$K$15,MID(B73,1,2)=Radicals!$N$15),"P","")</f>
        <v/>
      </c>
      <c r="B73" s="317" t="str">
        <f>Belong&amp;Show&amp;Female</f>
        <v>temizi</v>
      </c>
      <c r="C73" s="152" t="str">
        <f t="shared" si="1"/>
        <v>temizin</v>
      </c>
      <c r="D73" s="149" t="s">
        <v>940</v>
      </c>
      <c r="E73" s="153"/>
      <c r="F73" s="151"/>
      <c r="G73" s="299"/>
      <c r="H73" s="299"/>
      <c r="K73" s="152"/>
      <c r="M73" s="150"/>
    </row>
    <row r="74" spans="1:13" s="149" customFormat="1">
      <c r="A74" s="149" t="str">
        <f>IF(OR(MID(B74,1,2)=Radicals!$M$23,MID(B74,1,2)=Radicals!$K$15,MID(B74,1,2)=Radicals!$N$15),"P","")</f>
        <v/>
      </c>
      <c r="B74" s="317" t="str">
        <f>Me&amp;Group.</f>
        <v>nay</v>
      </c>
      <c r="C74" s="152" t="str">
        <f t="shared" si="1"/>
        <v>nayn</v>
      </c>
      <c r="D74" s="149" t="s">
        <v>941</v>
      </c>
      <c r="E74" s="152" t="str">
        <f>$B74&amp;E$2</f>
        <v>nayf</v>
      </c>
      <c r="F74" s="149" t="s">
        <v>936</v>
      </c>
      <c r="G74" s="297" t="str">
        <f>$B74&amp;Objet.</f>
        <v>naym</v>
      </c>
      <c r="H74" s="299" t="s">
        <v>1093</v>
      </c>
      <c r="M74" s="150"/>
    </row>
    <row r="75" spans="1:13" s="149" customFormat="1">
      <c r="A75" s="149" t="str">
        <f>IF(OR(MID(B75,1,2)=Radicals!$M$23,MID(B75,1,2)=Radicals!$K$15,MID(B75,1,2)=Radicals!$N$15),"P","")</f>
        <v/>
      </c>
      <c r="B75" s="318" t="str">
        <f>Belong&amp;Me&amp;Group.</f>
        <v>tenay</v>
      </c>
      <c r="C75" s="152" t="str">
        <f t="shared" si="1"/>
        <v>tenayn</v>
      </c>
      <c r="D75" s="149" t="s">
        <v>942</v>
      </c>
      <c r="F75" s="151"/>
      <c r="G75" s="299"/>
      <c r="H75" s="299"/>
      <c r="M75" s="150"/>
    </row>
    <row r="76" spans="1:13" s="149" customFormat="1">
      <c r="A76" s="149" t="str">
        <f>IF(OR(MID(B76,1,2)=Radicals!$M$23,MID(B76,1,2)=Radicals!$K$15,MID(B76,1,2)=Radicals!$N$15),"P","")</f>
        <v/>
      </c>
      <c r="B76" s="317" t="str">
        <f>Me&amp;You&amp;Group.</f>
        <v>namay</v>
      </c>
      <c r="C76" s="152" t="str">
        <f t="shared" si="1"/>
        <v>namayn</v>
      </c>
      <c r="D76" s="149" t="s">
        <v>943</v>
      </c>
      <c r="E76" s="152" t="str">
        <f>$B76&amp;E$2</f>
        <v>namayf</v>
      </c>
      <c r="F76" s="149" t="s">
        <v>936</v>
      </c>
      <c r="G76" s="297" t="str">
        <f>$B76&amp;Objet.</f>
        <v>namaym</v>
      </c>
      <c r="H76" s="299" t="s">
        <v>1093</v>
      </c>
      <c r="M76" s="150"/>
    </row>
    <row r="77" spans="1:13" s="149" customFormat="1">
      <c r="A77" s="149" t="str">
        <f>IF(OR(MID(B77,1,2)=Radicals!$M$23,MID(B77,1,2)=Radicals!$K$15,MID(B77,1,2)=Radicals!$N$15),"P","")</f>
        <v/>
      </c>
      <c r="B77" s="318" t="str">
        <f>Belong&amp;Me&amp;You&amp;Group.</f>
        <v>tenamay</v>
      </c>
      <c r="C77" s="152" t="str">
        <f t="shared" si="1"/>
        <v>tenamayn</v>
      </c>
      <c r="D77" s="149" t="s">
        <v>942</v>
      </c>
      <c r="E77" s="152"/>
      <c r="F77" s="151"/>
      <c r="G77" s="299"/>
      <c r="H77" s="298"/>
      <c r="M77" s="150"/>
    </row>
    <row r="78" spans="1:13" s="149" customFormat="1">
      <c r="A78" s="149" t="str">
        <f>IF(OR(MID(B78,1,2)=Radicals!$M$23,MID(B78,1,2)=Radicals!$K$15,MID(B78,1,2)=Radicals!$N$15),"P","")</f>
        <v/>
      </c>
      <c r="B78" s="317" t="str">
        <f>You&amp;Group.</f>
        <v>may</v>
      </c>
      <c r="C78" s="152" t="str">
        <f t="shared" si="1"/>
        <v>mayn</v>
      </c>
      <c r="D78" s="149" t="s">
        <v>944</v>
      </c>
      <c r="E78" s="152" t="str">
        <f>$B78&amp;E$2</f>
        <v>mayf</v>
      </c>
      <c r="F78" s="151" t="s">
        <v>933</v>
      </c>
      <c r="G78" s="299"/>
      <c r="H78" s="298"/>
      <c r="M78" s="150"/>
    </row>
    <row r="79" spans="1:13" s="149" customFormat="1">
      <c r="A79" s="149" t="str">
        <f>IF(OR(MID(B79,1,2)=Radicals!$M$23,MID(B79,1,2)=Radicals!$K$15,MID(B79,1,2)=Radicals!$N$15),"P","")</f>
        <v/>
      </c>
      <c r="B79" s="318" t="str">
        <f>Belong&amp;You&amp;Group.</f>
        <v>temay</v>
      </c>
      <c r="C79" s="152" t="str">
        <f t="shared" si="1"/>
        <v>temayn</v>
      </c>
      <c r="D79" s="149" t="s">
        <v>930</v>
      </c>
      <c r="E79" s="152"/>
      <c r="F79" s="151"/>
      <c r="G79" s="299"/>
      <c r="H79" s="298"/>
      <c r="M79" s="150"/>
    </row>
    <row r="80" spans="1:13" s="149" customFormat="1">
      <c r="A80" s="149" t="str">
        <f>IF(OR(MID(B80,1,2)=Radicals!$M$23,MID(B80,1,2)=Radicals!$K$15,MID(B80,1,2)=Radicals!$N$15),"P","")</f>
        <v/>
      </c>
      <c r="B80" s="317" t="str">
        <f>You&amp;Me</f>
        <v>mana</v>
      </c>
      <c r="C80" s="152" t="str">
        <f t="shared" si="1"/>
        <v>manan</v>
      </c>
      <c r="D80" s="149" t="s">
        <v>951</v>
      </c>
      <c r="E80" s="152" t="str">
        <f>$B80&amp;E$2</f>
        <v>manaf</v>
      </c>
      <c r="F80" s="151" t="s">
        <v>224</v>
      </c>
      <c r="G80" s="299"/>
      <c r="H80" s="298"/>
      <c r="M80" s="150"/>
    </row>
    <row r="81" spans="1:13" s="149" customFormat="1">
      <c r="A81" s="149" t="str">
        <f>IF(OR(MID(B81,1,2)=Radicals!$M$23,MID(B81,1,2)=Radicals!$K$15,MID(B81,1,2)=Radicals!$N$15),"P","")</f>
        <v/>
      </c>
      <c r="B81" s="317" t="str">
        <f>Belong&amp;You&amp;Me</f>
        <v>temana</v>
      </c>
      <c r="C81" s="152" t="str">
        <f t="shared" ref="C81:C88" si="2">$B81&amp;C$2</f>
        <v>temanan</v>
      </c>
      <c r="D81" s="149" t="s">
        <v>225</v>
      </c>
      <c r="E81" s="152"/>
      <c r="F81" s="151"/>
      <c r="G81" s="299"/>
      <c r="H81" s="298"/>
      <c r="M81" s="150"/>
    </row>
    <row r="82" spans="1:13" s="149" customFormat="1">
      <c r="A82" s="149" t="str">
        <f>IF(OR(MID(B82,1,2)=Radicals!$M$23,MID(B82,1,2)=Radicals!$K$15,MID(B82,1,2)=Radicals!$N$15),"P","")</f>
        <v/>
      </c>
      <c r="B82" s="317" t="str">
        <f>Belong&amp;You&amp;Me&amp;Group.</f>
        <v>temanay</v>
      </c>
      <c r="C82" s="152" t="str">
        <f t="shared" si="2"/>
        <v>temanayn</v>
      </c>
      <c r="D82" s="149" t="s">
        <v>225</v>
      </c>
      <c r="E82" s="152"/>
      <c r="F82" s="151"/>
      <c r="G82" s="299"/>
      <c r="H82" s="298"/>
      <c r="M82" s="150"/>
    </row>
    <row r="83" spans="1:13" s="149" customFormat="1">
      <c r="A83" s="149" t="str">
        <f>IF(OR(MID(B83,1,2)=Radicals!$M$23,MID(B83,1,2)=Radicals!$K$15,MID(B83,1,2)=Radicals!$N$15),"P","")</f>
        <v/>
      </c>
      <c r="B83" s="317" t="str">
        <f>Show&amp;Human&amp;Group.</f>
        <v>mizuy</v>
      </c>
      <c r="C83" s="152" t="str">
        <f t="shared" si="2"/>
        <v>mizuyn</v>
      </c>
      <c r="D83" s="149" t="s">
        <v>945</v>
      </c>
      <c r="E83" s="152" t="str">
        <f>$B83&amp;E$2</f>
        <v>mizuyf</v>
      </c>
      <c r="F83" s="151" t="s">
        <v>953</v>
      </c>
      <c r="G83" s="297" t="str">
        <f>$B83&amp;Objet.</f>
        <v>mizuym</v>
      </c>
      <c r="H83" s="298" t="s">
        <v>946</v>
      </c>
      <c r="M83" s="150"/>
    </row>
    <row r="84" spans="1:13" s="149" customFormat="1">
      <c r="A84" s="149" t="str">
        <f>IF(OR(MID(B84,1,2)=Radicals!$M$23,MID(B84,1,2)=Radicals!$K$15,MID(B84,1,2)=Radicals!$N$15),"P","")</f>
        <v/>
      </c>
      <c r="B84" s="317" t="str">
        <f>Belong&amp;Show&amp;Human&amp;Group.</f>
        <v>temizuy</v>
      </c>
      <c r="C84" s="152" t="str">
        <f t="shared" si="2"/>
        <v>temizuyn</v>
      </c>
      <c r="D84" s="149" t="s">
        <v>947</v>
      </c>
      <c r="E84" s="152"/>
      <c r="F84" s="151"/>
      <c r="G84" s="299"/>
      <c r="H84" s="298"/>
      <c r="M84" s="150"/>
    </row>
    <row r="85" spans="1:13" s="149" customFormat="1">
      <c r="A85" s="149" t="str">
        <f>IF(OR(MID(B85,1,2)=Radicals!$M$23,MID(B85,1,2)=Radicals!$K$15,MID(B85,1,2)=Radicals!$N$15),"P","")</f>
        <v/>
      </c>
      <c r="B85" s="317" t="str">
        <f>Belong&amp;Show&amp;Human&amp;Group&amp;Group.</f>
        <v>temizuyey</v>
      </c>
      <c r="C85" s="152" t="str">
        <f t="shared" si="2"/>
        <v>temizuyeyn</v>
      </c>
      <c r="D85" s="149" t="s">
        <v>948</v>
      </c>
      <c r="E85" s="152"/>
      <c r="F85" s="151"/>
      <c r="G85" s="299"/>
      <c r="H85" s="298"/>
      <c r="M85" s="150"/>
    </row>
    <row r="86" spans="1:13" s="149" customFormat="1">
      <c r="A86" s="149" t="str">
        <f>IF(OR(MID(B86,1,2)=Radicals!$M$23,MID(B86,1,2)=Radicals!$K$15,MID(B86,1,2)=Radicals!$N$15),"P","")</f>
        <v/>
      </c>
      <c r="B86" s="317" t="str">
        <f>Show&amp;Female&amp;Group</f>
        <v>miziye</v>
      </c>
      <c r="C86" s="152" t="str">
        <f t="shared" si="2"/>
        <v>miziyen</v>
      </c>
      <c r="D86" s="149" t="s">
        <v>949</v>
      </c>
      <c r="E86" s="152" t="str">
        <f>$B86&amp;E$2</f>
        <v>miziyef</v>
      </c>
      <c r="F86" s="151" t="s">
        <v>952</v>
      </c>
      <c r="G86" s="297" t="str">
        <f>$B86&amp;Objet.</f>
        <v>miziyem</v>
      </c>
      <c r="H86" s="298" t="s">
        <v>950</v>
      </c>
      <c r="M86" s="150"/>
    </row>
    <row r="87" spans="1:13" s="149" customFormat="1">
      <c r="A87" s="149" t="str">
        <f>IF(OR(MID(B87,1,2)=Radicals!$M$23,MID(B87,1,2)=Radicals!$K$15,MID(B87,1,2)=Radicals!$N$15),"P","")</f>
        <v/>
      </c>
      <c r="B87" s="317" t="str">
        <f>Belong&amp;Show&amp;Female&amp;Group</f>
        <v>temiziye</v>
      </c>
      <c r="C87" s="152" t="str">
        <f t="shared" si="2"/>
        <v>temiziyen</v>
      </c>
      <c r="D87" s="149" t="s">
        <v>947</v>
      </c>
      <c r="E87" s="152"/>
      <c r="F87" s="151"/>
      <c r="G87" s="150"/>
      <c r="M87" s="150"/>
    </row>
    <row r="88" spans="1:13" s="149" customFormat="1">
      <c r="A88" s="149" t="str">
        <f>IF(OR(MID(B88,1,2)=Radicals!$M$23,MID(B88,1,2)=Radicals!$K$15,MID(B88,1,2)=Radicals!$N$15),"P","")</f>
        <v/>
      </c>
      <c r="B88" s="317" t="str">
        <f>Belong&amp;Show&amp;Female&amp;Group&amp;Group.</f>
        <v>temiziyey</v>
      </c>
      <c r="C88" s="152" t="str">
        <f t="shared" si="2"/>
        <v>temiziyeyn</v>
      </c>
      <c r="D88" s="149" t="s">
        <v>948</v>
      </c>
      <c r="E88" s="152"/>
      <c r="F88" s="151"/>
      <c r="G88" s="150"/>
      <c r="M88" s="150"/>
    </row>
    <row r="89" spans="1:13" s="149" customFormat="1">
      <c r="A89" s="149" t="str">
        <f>IF(OR(MID(B89,1,2)=Radicals!$M$23,MID(B89,1,2)=Radicals!$K$15,MID(B89,1,2)=Radicals!$N$15),"P","")</f>
        <v/>
      </c>
      <c r="B89" s="315"/>
      <c r="C89" s="152"/>
      <c r="F89" s="151"/>
      <c r="G89" s="150"/>
      <c r="M89" s="150"/>
    </row>
    <row r="90" spans="1:13" s="149" customFormat="1" ht="18">
      <c r="A90" s="149" t="str">
        <f>IF(OR(MID(B90,1,2)=Radicals!$M$23,MID(B90,1,2)=Radicals!$K$15,MID(B90,1,2)=Radicals!$N$15),"P","")</f>
        <v/>
      </c>
      <c r="B90" s="316"/>
      <c r="C90" s="152"/>
      <c r="F90" s="151"/>
      <c r="G90" s="150"/>
      <c r="M90" s="150"/>
    </row>
    <row r="91" spans="1:13" s="149" customFormat="1" ht="18">
      <c r="A91" s="149" t="str">
        <f>IF(OR(MID(B91,1,2)=Radicals!$M$23,MID(B91,1,2)=Radicals!$K$15,MID(B91,1,2)=Radicals!$N$15),"P","")</f>
        <v/>
      </c>
      <c r="B91" s="316" t="s">
        <v>381</v>
      </c>
      <c r="C91" s="152"/>
      <c r="F91" s="151"/>
      <c r="G91" s="150"/>
      <c r="M91" s="150"/>
    </row>
    <row r="92" spans="1:13" s="149" customFormat="1">
      <c r="A92" s="149" t="str">
        <f>IF(OR(MID(B92,1,2)=Radicals!$M$23,MID(B92,1,2)=Radicals!$K$15,MID(B92,1,2)=Radicals!$N$15),"P","")</f>
        <v/>
      </c>
      <c r="B92" s="314" t="str">
        <f>Property</f>
        <v>fe</v>
      </c>
      <c r="C92" s="152" t="str">
        <f>$B92&amp;C$2</f>
        <v>fen</v>
      </c>
      <c r="D92" s="149" t="s">
        <v>380</v>
      </c>
      <c r="F92" s="151"/>
      <c r="G92" s="152" t="str">
        <f t="shared" ref="G92:G97" si="3">$B92&amp;G$2</f>
        <v>fer</v>
      </c>
      <c r="H92" s="149" t="s">
        <v>700</v>
      </c>
      <c r="K92" s="152" t="str">
        <f>$B92&amp;K$2</f>
        <v>fe</v>
      </c>
      <c r="L92" s="149" t="s">
        <v>245</v>
      </c>
      <c r="M92" s="150"/>
    </row>
    <row r="93" spans="1:13" s="149" customFormat="1">
      <c r="A93" s="149" t="str">
        <f>IF(OR(MID(B93,1,2)=Radicals!$M$23,MID(B93,1,2)=Radicals!$K$15,MID(B93,1,2)=Radicals!$N$15),"P","")</f>
        <v/>
      </c>
      <c r="B93" s="314" t="str">
        <f>Belong</f>
        <v>te</v>
      </c>
      <c r="C93" s="152" t="str">
        <f>$B93&amp;C$2</f>
        <v>ten</v>
      </c>
      <c r="D93" s="149" t="s">
        <v>552</v>
      </c>
      <c r="F93" s="151"/>
      <c r="G93" s="152" t="str">
        <f t="shared" si="3"/>
        <v>ter</v>
      </c>
      <c r="H93" s="149" t="s">
        <v>550</v>
      </c>
      <c r="K93" s="152" t="str">
        <f>$B93&amp;K$2</f>
        <v>te</v>
      </c>
      <c r="L93" s="149" t="s">
        <v>455</v>
      </c>
      <c r="M93" s="150"/>
    </row>
    <row r="94" spans="1:13" s="149" customFormat="1">
      <c r="A94" s="149" t="str">
        <f>IF(OR(MID(B94,1,2)=Radicals!$M$23,MID(B94,1,2)=Radicals!$K$15,MID(B94,1,2)=Radicals!$N$15),"P","")</f>
        <v/>
      </c>
      <c r="B94" s="314" t="str">
        <f>Trend.&amp;Property</f>
        <v>sfe</v>
      </c>
      <c r="C94" s="152"/>
      <c r="F94" s="151"/>
      <c r="G94" s="155" t="str">
        <f>$B94&amp;G$2</f>
        <v>sfer</v>
      </c>
      <c r="H94" s="149" t="s">
        <v>1097</v>
      </c>
      <c r="M94" s="150"/>
    </row>
    <row r="95" spans="1:13" s="149" customFormat="1">
      <c r="A95" s="149" t="str">
        <f>IF(OR(MID(B95,1,2)=Radicals!$M$23,MID(B95,1,2)=Radicals!$K$15,MID(B95,1,2)=Radicals!$N$15),"P","")</f>
        <v/>
      </c>
      <c r="B95" s="314" t="str">
        <f>Trend.&amp;Belong</f>
        <v>ste</v>
      </c>
      <c r="C95" s="152"/>
      <c r="F95" s="151"/>
      <c r="G95" s="155" t="str">
        <f t="shared" si="3"/>
        <v>ster</v>
      </c>
      <c r="H95" s="149" t="s">
        <v>1096</v>
      </c>
      <c r="M95" s="150"/>
    </row>
    <row r="96" spans="1:13" s="149" customFormat="1">
      <c r="A96" s="149" t="str">
        <f>IF(OR(MID(B96,1,2)=Radicals!$M$23,MID(B96,1,2)=Radicals!$K$15,MID(B96,1,2)=Radicals!$N$15),"P","")</f>
        <v>P</v>
      </c>
      <c r="B96" s="314" t="str">
        <f>Objet&amp;Trend.&amp;Property</f>
        <v>mesfe</v>
      </c>
      <c r="C96" s="152"/>
      <c r="F96" s="151"/>
      <c r="G96" s="152" t="str">
        <f>$B96&amp;G$2</f>
        <v>mesfer</v>
      </c>
      <c r="H96" s="149" t="s">
        <v>1095</v>
      </c>
      <c r="M96" s="150"/>
    </row>
    <row r="97" spans="1:13" s="149" customFormat="1">
      <c r="A97" s="149" t="str">
        <f>IF(OR(MID(B97,1,2)=Radicals!$M$23,MID(B97,1,2)=Radicals!$K$15,MID(B97,1,2)=Radicals!$N$15),"P","")</f>
        <v>P</v>
      </c>
      <c r="B97" s="314" t="str">
        <f>Objet&amp;Trend.&amp;Belong</f>
        <v>meste</v>
      </c>
      <c r="C97" s="152" t="str">
        <f>$B97&amp;C$2</f>
        <v>mesten</v>
      </c>
      <c r="D97" s="149" t="s">
        <v>1011</v>
      </c>
      <c r="F97" s="151"/>
      <c r="G97" s="152" t="str">
        <f t="shared" si="3"/>
        <v>mester</v>
      </c>
      <c r="H97" s="149" t="s">
        <v>1119</v>
      </c>
      <c r="M97" s="150"/>
    </row>
    <row r="98" spans="1:13" s="149" customFormat="1">
      <c r="A98" s="149" t="str">
        <f>IF(OR(MID(B98,1,2)=Radicals!$M$23,MID(B98,1,2)=Radicals!$K$15,MID(B98,1,2)=Radicals!$N$15),"P","")</f>
        <v>P</v>
      </c>
      <c r="B98" s="314" t="str">
        <f>Self&amp;Trend.&amp;Property</f>
        <v>wasfe</v>
      </c>
      <c r="C98" s="152"/>
      <c r="F98" s="151"/>
      <c r="G98" s="152" t="str">
        <f>$B98&amp;G$2</f>
        <v>wasfer</v>
      </c>
      <c r="H98" s="149" t="s">
        <v>262</v>
      </c>
      <c r="M98" s="150"/>
    </row>
    <row r="99" spans="1:13" s="149" customFormat="1">
      <c r="A99" s="149" t="str">
        <f>IF(OR(MID(B99,1,2)=Radicals!$M$23,MID(B99,1,2)=Radicals!$K$15,MID(B99,1,2)=Radicals!$N$15),"P","")</f>
        <v>P</v>
      </c>
      <c r="B99" s="314" t="str">
        <f>Self&amp;Trend.&amp;Belong</f>
        <v>waste</v>
      </c>
      <c r="C99" s="152" t="str">
        <f>$B99&amp;C$2</f>
        <v>wasten</v>
      </c>
      <c r="D99" s="149" t="s">
        <v>1099</v>
      </c>
      <c r="F99" s="151"/>
      <c r="G99" s="152" t="str">
        <f>$B99&amp;G$2</f>
        <v>waster</v>
      </c>
      <c r="H99" s="149" t="s">
        <v>1098</v>
      </c>
      <c r="M99" s="150"/>
    </row>
    <row r="100" spans="1:13" s="149" customFormat="1">
      <c r="A100" s="149" t="str">
        <f>IF(OR(MID(B100,1,2)=Radicals!$M$23,MID(B100,1,2)=Radicals!$K$15,MID(B100,1,2)=Radicals!$N$15),"P","")</f>
        <v/>
      </c>
      <c r="B100" s="314" t="str">
        <f>Quality&amp;Property</f>
        <v>fufe</v>
      </c>
      <c r="C100" s="152" t="str">
        <f>$B100&amp;C$2</f>
        <v>fufen</v>
      </c>
      <c r="D100" s="149" t="s">
        <v>551</v>
      </c>
      <c r="F100" s="151"/>
      <c r="G100" s="152"/>
      <c r="M100" s="150"/>
    </row>
    <row r="101" spans="1:13" s="149" customFormat="1">
      <c r="A101" s="149" t="str">
        <f>IF(OR(MID(B101,1,2)=Radicals!$M$23,MID(B101,1,2)=Radicals!$K$15,MID(B101,1,2)=Radicals!$N$15),"P","")</f>
        <v/>
      </c>
      <c r="B101" s="314" t="str">
        <f>Thing&amp;Belong</f>
        <v>nete</v>
      </c>
      <c r="C101" s="152" t="str">
        <f>$B101&amp;C$2</f>
        <v>neten</v>
      </c>
      <c r="D101" s="149" t="s">
        <v>1012</v>
      </c>
      <c r="F101" s="151"/>
      <c r="M101" s="150"/>
    </row>
    <row r="102" spans="1:13" s="149" customFormat="1">
      <c r="A102" s="149" t="str">
        <f>IF(OR(MID(B102,1,2)=Radicals!$M$23,MID(B102,1,2)=Radicals!$K$15,MID(B102,1,2)=Radicals!$N$15),"P","")</f>
        <v>P</v>
      </c>
      <c r="B102" s="314" t="str">
        <f>Self&amp;Trend.&amp;Negation&amp;Property</f>
        <v>waspofe</v>
      </c>
      <c r="C102" s="152"/>
      <c r="F102" s="151"/>
      <c r="G102" s="152" t="str">
        <f>$B102&amp;G$2</f>
        <v>waspofer</v>
      </c>
      <c r="H102" s="149" t="s">
        <v>263</v>
      </c>
      <c r="M102" s="150"/>
    </row>
    <row r="103" spans="1:13" s="149" customFormat="1">
      <c r="A103" s="149" t="str">
        <f>IF(OR(MID(B103,1,2)=Radicals!$M$23,MID(B103,1,2)=Radicals!$K$15,MID(B103,1,2)=Radicals!$N$15),"P","")</f>
        <v/>
      </c>
      <c r="B103" s="314" t="str">
        <f>Trend.&amp;Negation&amp;Property</f>
        <v>spofe</v>
      </c>
      <c r="C103" s="152" t="str">
        <f>$B103&amp;C$2</f>
        <v>spofen</v>
      </c>
      <c r="D103" s="149" t="s">
        <v>1094</v>
      </c>
      <c r="F103" s="151"/>
      <c r="G103" s="152" t="str">
        <f>$B103&amp;G$2</f>
        <v>spofer</v>
      </c>
      <c r="H103" s="149" t="s">
        <v>264</v>
      </c>
      <c r="M103" s="150"/>
    </row>
    <row r="104" spans="1:13" s="149" customFormat="1">
      <c r="A104" s="149" t="str">
        <f>IF(OR(MID(B104,1,2)=Radicals!$M$23,MID(B104,1,2)=Radicals!$K$15,MID(B104,1,2)=Radicals!$N$15),"P","")</f>
        <v/>
      </c>
      <c r="B104" s="314"/>
      <c r="C104" s="152"/>
      <c r="F104" s="151"/>
      <c r="G104" s="152"/>
      <c r="M104" s="150"/>
    </row>
    <row r="105" spans="1:13" s="149" customFormat="1" ht="18">
      <c r="A105" s="149" t="str">
        <f>IF(OR(MID(B105,1,2)=Radicals!$M$23,MID(B105,1,2)=Radicals!$K$15,MID(B105,1,2)=Radicals!$N$15),"P","")</f>
        <v/>
      </c>
      <c r="B105" s="316" t="s">
        <v>684</v>
      </c>
      <c r="C105" s="152"/>
      <c r="F105" s="151"/>
      <c r="G105" s="152"/>
      <c r="M105" s="150"/>
    </row>
    <row r="106" spans="1:13" s="149" customFormat="1">
      <c r="A106" s="149" t="str">
        <f>IF(OR(MID(B106,1,2)=Radicals!$M$23,MID(B106,1,2)=Radicals!$K$15,MID(B106,1,2)=Radicals!$N$15),"P","")</f>
        <v/>
      </c>
      <c r="B106" s="314" t="str">
        <f>Information&amp;Body</f>
        <v>peci</v>
      </c>
      <c r="C106" s="152" t="str">
        <f>$B106&amp;C$2</f>
        <v>pecin</v>
      </c>
      <c r="D106" s="149" t="s">
        <v>627</v>
      </c>
      <c r="E106" s="152" t="str">
        <f>$B106&amp;E$2</f>
        <v>pecif</v>
      </c>
      <c r="F106" s="151" t="s">
        <v>628</v>
      </c>
      <c r="G106" s="152" t="str">
        <f>$B106&amp;G$2</f>
        <v>pecir</v>
      </c>
      <c r="H106" s="149" t="s">
        <v>629</v>
      </c>
      <c r="K106" s="152"/>
      <c r="M106" s="150"/>
    </row>
    <row r="107" spans="1:13" s="149" customFormat="1">
      <c r="A107" s="149" t="str">
        <f>IF(OR(MID(B107,1,2)=Radicals!$M$23,MID(B107,1,2)=Radicals!$K$15,MID(B107,1,2)=Radicals!$N$15),"P","")</f>
        <v/>
      </c>
      <c r="B107" s="314"/>
      <c r="C107" s="193"/>
      <c r="E107" s="152"/>
      <c r="F107" s="151"/>
      <c r="G107" s="152"/>
      <c r="K107" s="152"/>
      <c r="M107" s="150"/>
    </row>
    <row r="108" spans="1:13" s="149" customFormat="1">
      <c r="A108" s="149" t="str">
        <f>IF(OR(MID(B108,1,2)=Radicals!$M$23,MID(B108,1,2)=Radicals!$K$15,MID(B108,1,2)=Radicals!$N$15),"P","")</f>
        <v/>
      </c>
      <c r="B108" s="319" t="str">
        <f>Information&amp;Body&amp;Light</f>
        <v>pecibi</v>
      </c>
      <c r="C108" s="152" t="str">
        <f>$B108&amp;C$2</f>
        <v>pecibin</v>
      </c>
      <c r="D108" s="149" t="s">
        <v>630</v>
      </c>
      <c r="E108" s="152" t="str">
        <f>$B108&amp;E$2</f>
        <v>pecibif</v>
      </c>
      <c r="F108" s="151" t="s">
        <v>631</v>
      </c>
      <c r="G108" s="152" t="str">
        <f>$B108&amp;G$2</f>
        <v>pecibir</v>
      </c>
      <c r="H108" s="149" t="s">
        <v>632</v>
      </c>
      <c r="I108" s="152" t="str">
        <f>$B108&amp;I$2</f>
        <v>pecibiv</v>
      </c>
      <c r="J108" s="151" t="s">
        <v>633</v>
      </c>
      <c r="K108" s="152"/>
      <c r="M108" s="150"/>
    </row>
    <row r="109" spans="1:13" s="149" customFormat="1">
      <c r="A109" s="149" t="str">
        <f>IF(OR(MID(B109,1,2)=Radicals!$M$23,MID(B109,1,2)=Radicals!$K$15,MID(B109,1,2)=Radicals!$N$15),"P","")</f>
        <v/>
      </c>
      <c r="B109" s="314" t="str">
        <f>Thing&amp;Information&amp;Body&amp;Light</f>
        <v>nepecibi</v>
      </c>
      <c r="C109" s="152" t="str">
        <f>$B109&amp;C$2</f>
        <v>nepecibin</v>
      </c>
      <c r="D109" s="149" t="s">
        <v>681</v>
      </c>
      <c r="E109" s="152"/>
      <c r="F109" s="151"/>
      <c r="G109" s="152"/>
      <c r="I109" s="152"/>
      <c r="K109" s="152"/>
      <c r="M109" s="150"/>
    </row>
    <row r="110" spans="1:13" s="149" customFormat="1">
      <c r="A110" s="149" t="str">
        <f>IF(OR(MID(B110,1,2)=Radicals!$M$23,MID(B110,1,2)=Radicals!$K$15,MID(B110,1,2)=Radicals!$N$15),"P","")</f>
        <v/>
      </c>
      <c r="B110" s="314" t="str">
        <f>Negation&amp;Information&amp;Body&amp;Light</f>
        <v>popecibi</v>
      </c>
      <c r="C110" s="152" t="str">
        <f>$B110&amp;C$2</f>
        <v>popecibin</v>
      </c>
      <c r="D110" s="149" t="s">
        <v>642</v>
      </c>
      <c r="E110" s="152" t="str">
        <f>$B110&amp;E$2</f>
        <v>popecibif</v>
      </c>
      <c r="F110" s="151" t="s">
        <v>643</v>
      </c>
      <c r="G110" s="152"/>
      <c r="I110" s="152" t="str">
        <f>$B110&amp;I$2</f>
        <v>popecibiv</v>
      </c>
      <c r="J110" s="151" t="s">
        <v>886</v>
      </c>
      <c r="K110" s="152"/>
      <c r="M110" s="150"/>
    </row>
    <row r="111" spans="1:13" s="149" customFormat="1" ht="13.5" customHeight="1">
      <c r="A111" s="149" t="str">
        <f>IF(OR(MID(B111,1,2)=Radicals!$M$23,MID(B111,1,2)=Radicals!$K$15,MID(B111,1,2)=Radicals!$N$15),"P","")</f>
        <v/>
      </c>
      <c r="B111" s="319" t="str">
        <f>Quality&amp;Light</f>
        <v>fubi</v>
      </c>
      <c r="C111" s="152" t="str">
        <f>$B111&amp;C$2</f>
        <v>fubin</v>
      </c>
      <c r="D111" s="149" t="s">
        <v>636</v>
      </c>
      <c r="E111" s="152" t="str">
        <f>$B111&amp;E$2</f>
        <v>fubif</v>
      </c>
      <c r="F111" s="151" t="s">
        <v>638</v>
      </c>
      <c r="G111" s="152" t="str">
        <f>$B111&amp;G$2</f>
        <v>fubir</v>
      </c>
      <c r="H111" s="149" t="s">
        <v>637</v>
      </c>
      <c r="I111" s="152"/>
      <c r="M111" s="150"/>
    </row>
    <row r="112" spans="1:13" s="149" customFormat="1" ht="13.5" customHeight="1">
      <c r="A112" s="149" t="str">
        <f>IF(OR(MID(B112,1,2)=Radicals!$M$23,MID(B112,1,2)=Radicals!$K$15,MID(B112,1,2)=Radicals!$N$15),"P","")</f>
        <v/>
      </c>
      <c r="B112" s="314" t="str">
        <f>Quantity&amp;Light</f>
        <v>yubi</v>
      </c>
      <c r="C112" s="152" t="str">
        <f>$B112&amp;C$2</f>
        <v>yubin</v>
      </c>
      <c r="D112" s="149" t="s">
        <v>639</v>
      </c>
      <c r="E112" s="152" t="str">
        <f>$B112&amp;E$2</f>
        <v>yubif</v>
      </c>
      <c r="F112" s="151" t="s">
        <v>641</v>
      </c>
      <c r="G112" s="152" t="str">
        <f>$B112&amp;G$2</f>
        <v>yubir</v>
      </c>
      <c r="H112" s="149" t="s">
        <v>640</v>
      </c>
      <c r="I112" s="152"/>
      <c r="M112" s="150"/>
    </row>
    <row r="113" spans="1:13" s="149" customFormat="1">
      <c r="A113" s="149" t="str">
        <f>IF(OR(MID(B113,1,2)=Radicals!$M$23,MID(B113,1,2)=Radicals!$K$15,MID(B113,1,2)=Radicals!$N$15),"P","")</f>
        <v/>
      </c>
      <c r="B113" s="314"/>
      <c r="C113" s="193"/>
      <c r="E113" s="152"/>
      <c r="F113" s="151"/>
      <c r="G113" s="152"/>
      <c r="I113" s="152"/>
      <c r="J113" s="151"/>
      <c r="K113" s="152"/>
      <c r="M113" s="150"/>
    </row>
    <row r="114" spans="1:13">
      <c r="A114" s="149" t="str">
        <f>IF(OR(MID(B114,1,2)=Radicals!$M$23,MID(B114,1,2)=Radicals!$K$15,MID(B114,1,2)=Radicals!$N$15),"P","")</f>
        <v/>
      </c>
      <c r="B114" s="320" t="str">
        <f>Manner&amp;Information&amp;Body</f>
        <v>vepeci</v>
      </c>
      <c r="C114" s="152" t="str">
        <f>$B114&amp;C$2</f>
        <v>vepecin</v>
      </c>
      <c r="D114" s="14" t="s">
        <v>881</v>
      </c>
      <c r="E114" s="152" t="str">
        <f>$B114&amp;E$2</f>
        <v>vepecif</v>
      </c>
      <c r="F114" s="13" t="s">
        <v>883</v>
      </c>
      <c r="I114" s="152" t="str">
        <f>$B114&amp;I$2</f>
        <v>vepeciv</v>
      </c>
      <c r="J114" s="13" t="s">
        <v>884</v>
      </c>
    </row>
    <row r="115" spans="1:13" s="149" customFormat="1" ht="13.5" customHeight="1">
      <c r="A115" s="149" t="str">
        <f>IF(OR(MID(B115,1,2)=Radicals!$M$23,MID(B115,1,2)=Radicals!$K$15,MID(B115,1,2)=Radicals!$N$15),"P","")</f>
        <v/>
      </c>
      <c r="B115" s="314" t="str">
        <f>Human&amp;Manner&amp;Information&amp;Body</f>
        <v>zuvepeci</v>
      </c>
      <c r="C115" s="152" t="str">
        <f>$B115&amp;C$2</f>
        <v>zuvepecin</v>
      </c>
      <c r="D115" s="149" t="s">
        <v>882</v>
      </c>
      <c r="E115" s="152"/>
      <c r="F115" s="151"/>
      <c r="G115" s="152"/>
      <c r="M115" s="150"/>
    </row>
    <row r="116" spans="1:13" s="149" customFormat="1" ht="13.5" customHeight="1">
      <c r="A116" s="149" t="str">
        <f>IF(OR(MID(B116,1,2)=Radicals!$M$23,MID(B116,1,2)=Radicals!$K$15,MID(B116,1,2)=Radicals!$N$15),"P","")</f>
        <v/>
      </c>
      <c r="B116" s="314" t="str">
        <f>Thing&amp;Manner&amp;Information&amp;Body</f>
        <v>nevepeci</v>
      </c>
      <c r="C116" s="152" t="str">
        <f>$B116&amp;C$2</f>
        <v>nevepecin</v>
      </c>
      <c r="D116" s="149" t="s">
        <v>885</v>
      </c>
      <c r="E116" s="152"/>
      <c r="F116" s="151"/>
      <c r="G116" s="152"/>
      <c r="M116" s="150"/>
    </row>
    <row r="117" spans="1:13" s="149" customFormat="1" ht="13.5" customHeight="1">
      <c r="A117" s="149" t="str">
        <f>IF(OR(MID(B117,1,2)=Radicals!$M$23,MID(B117,1,2)=Radicals!$K$15,MID(B117,1,2)=Radicals!$N$15),"P","")</f>
        <v/>
      </c>
      <c r="B117" s="314"/>
      <c r="C117" s="152"/>
      <c r="E117" s="152"/>
      <c r="F117" s="151"/>
      <c r="G117" s="152"/>
      <c r="M117" s="150"/>
    </row>
    <row r="118" spans="1:13" s="149" customFormat="1">
      <c r="A118" s="149" t="str">
        <f>IF(OR(MID(B118,1,2)=Radicals!$M$23,MID(B118,1,2)=Radicals!$K$15,MID(B118,1,2)=Radicals!$N$15),"P","")</f>
        <v/>
      </c>
      <c r="B118" s="321" t="str">
        <f>Information&amp;Mind</f>
        <v>peca</v>
      </c>
      <c r="C118" s="152" t="str">
        <f>$B118&amp;C$2</f>
        <v>pecan</v>
      </c>
      <c r="D118" s="149" t="s">
        <v>1112</v>
      </c>
      <c r="E118" s="152" t="str">
        <f>$B118&amp;E$2</f>
        <v>pecaf</v>
      </c>
      <c r="F118" s="151" t="s">
        <v>657</v>
      </c>
      <c r="G118" s="152" t="str">
        <f t="shared" ref="G118:G125" si="4">$B118&amp;G$2</f>
        <v>pecar</v>
      </c>
      <c r="H118" s="149" t="s">
        <v>257</v>
      </c>
      <c r="K118" s="152"/>
      <c r="M118" s="150"/>
    </row>
    <row r="119" spans="1:13" s="149" customFormat="1">
      <c r="A119" s="149" t="str">
        <f>IF(OR(MID(B119,1,2)=Radicals!$M$23,MID(B119,1,2)=Radicals!$K$15,MID(B119,1,2)=Radicals!$N$15),"P","")</f>
        <v/>
      </c>
      <c r="B119" s="314" t="str">
        <f>Property&amp;Information&amp;Mind</f>
        <v>fepeca</v>
      </c>
      <c r="C119" s="152"/>
      <c r="E119" s="152"/>
      <c r="F119" s="151"/>
      <c r="G119" s="152" t="str">
        <f t="shared" si="4"/>
        <v>fepecar</v>
      </c>
      <c r="H119" s="149" t="s">
        <v>1038</v>
      </c>
      <c r="K119" s="152"/>
      <c r="M119" s="150"/>
    </row>
    <row r="120" spans="1:13" s="149" customFormat="1">
      <c r="A120" s="149" t="str">
        <f>IF(OR(MID(B120,1,2)=Radicals!$M$23,MID(B120,1,2)=Radicals!$K$15,MID(B120,1,2)=Radicals!$N$15),"P","")</f>
        <v/>
      </c>
      <c r="B120" s="321" t="str">
        <f>Negation&amp;Information&amp;Mind</f>
        <v>popeca</v>
      </c>
      <c r="C120" s="152" t="str">
        <f>$B120&amp;C$2</f>
        <v>popecan</v>
      </c>
      <c r="D120" s="149" t="s">
        <v>655</v>
      </c>
      <c r="E120" s="152" t="str">
        <f>$B120&amp;E$2</f>
        <v>popecaf</v>
      </c>
      <c r="F120" s="151" t="s">
        <v>656</v>
      </c>
      <c r="G120" s="152" t="str">
        <f t="shared" si="4"/>
        <v>popecar</v>
      </c>
      <c r="H120" s="149" t="s">
        <v>654</v>
      </c>
      <c r="K120" s="152"/>
      <c r="M120" s="150"/>
    </row>
    <row r="121" spans="1:13" s="149" customFormat="1">
      <c r="A121" s="149" t="str">
        <f>IF(OR(MID(B121,1,2)=Radicals!$M$23,MID(B121,1,2)=Radicals!$K$15,MID(B121,1,2)=Radicals!$N$15),"P","")</f>
        <v/>
      </c>
      <c r="B121" s="314" t="str">
        <f>Trend.&amp;Property&amp;Information</f>
        <v>sfepe</v>
      </c>
      <c r="E121" s="152"/>
      <c r="G121" s="152" t="str">
        <f t="shared" si="4"/>
        <v>sfeper</v>
      </c>
      <c r="H121" s="265" t="s">
        <v>1037</v>
      </c>
      <c r="K121" s="152"/>
      <c r="M121" s="150"/>
    </row>
    <row r="122" spans="1:13" s="149" customFormat="1">
      <c r="A122" s="149" t="str">
        <f>IF(OR(MID(B122,1,2)=Radicals!$M$23,MID(B122,1,2)=Radicals!$K$15,MID(B122,1,2)=Radicals!$N$15),"P","")</f>
        <v>P</v>
      </c>
      <c r="B122" s="314" t="str">
        <f>Objet&amp;Trend.&amp;Property&amp;Information</f>
        <v>mesfepe</v>
      </c>
      <c r="E122" s="152"/>
      <c r="G122" s="152" t="str">
        <f t="shared" si="4"/>
        <v>mesfeper</v>
      </c>
      <c r="H122" s="149" t="s">
        <v>258</v>
      </c>
      <c r="K122" s="152"/>
      <c r="M122" s="150"/>
    </row>
    <row r="123" spans="1:13" s="149" customFormat="1">
      <c r="A123" s="149" t="str">
        <f>IF(OR(MID(B123,1,2)=Radicals!$M$23,MID(B123,1,2)=Radicals!$K$15,MID(B123,1,2)=Radicals!$N$15),"P","")</f>
        <v>P</v>
      </c>
      <c r="B123" s="314" t="str">
        <f>Self&amp;Trend.&amp;Property&amp;Information</f>
        <v>wasfepe</v>
      </c>
      <c r="E123" s="152"/>
      <c r="F123" s="151"/>
      <c r="G123" s="152" t="str">
        <f t="shared" si="4"/>
        <v>wasfeper</v>
      </c>
      <c r="H123" s="149" t="s">
        <v>259</v>
      </c>
      <c r="K123" s="152"/>
      <c r="M123" s="150"/>
    </row>
    <row r="124" spans="1:13" s="149" customFormat="1">
      <c r="A124" s="149" t="str">
        <f>IF(OR(MID(B124,1,2)=Radicals!$M$23,MID(B124,1,2)=Radicals!$K$15,MID(B124,1,2)=Radicals!$N$15),"P","")</f>
        <v>P</v>
      </c>
      <c r="B124" s="314" t="str">
        <f>Self&amp;Trend.&amp;Negation&amp;Property&amp;Information</f>
        <v>waspofepe</v>
      </c>
      <c r="E124" s="152"/>
      <c r="F124" s="151"/>
      <c r="G124" s="152" t="str">
        <f t="shared" si="4"/>
        <v>waspofeper</v>
      </c>
      <c r="H124" s="149" t="s">
        <v>260</v>
      </c>
      <c r="K124" s="152"/>
      <c r="M124" s="150"/>
    </row>
    <row r="125" spans="1:13" s="149" customFormat="1">
      <c r="A125" s="149" t="str">
        <f>IF(OR(MID(B125,1,2)=Radicals!$M$23,MID(B125,1,2)=Radicals!$K$15,MID(B125,1,2)=Radicals!$N$15),"P","")</f>
        <v>P</v>
      </c>
      <c r="B125" s="314" t="str">
        <f>Objet&amp;Trend.&amp;Negation&amp;Property&amp;Information</f>
        <v>mespofepe</v>
      </c>
      <c r="F125" s="151"/>
      <c r="G125" s="152" t="str">
        <f t="shared" si="4"/>
        <v>mespofeper</v>
      </c>
      <c r="H125" s="149" t="s">
        <v>261</v>
      </c>
      <c r="K125" s="152"/>
      <c r="M125" s="150"/>
    </row>
    <row r="126" spans="1:13" s="149" customFormat="1">
      <c r="A126" s="149" t="str">
        <f>IF(OR(MID(B126,1,2)=Radicals!$M$23,MID(B126,1,2)=Radicals!$K$15,MID(B126,1,2)=Radicals!$N$15),"P","")</f>
        <v>P</v>
      </c>
      <c r="B126" s="319" t="str">
        <f>Objet&amp;Information</f>
        <v>mepe</v>
      </c>
      <c r="C126" s="152" t="str">
        <f>$B126&amp;C$2</f>
        <v>mepen</v>
      </c>
      <c r="D126" s="149" t="s">
        <v>687</v>
      </c>
      <c r="E126" s="152" t="str">
        <f>$B126&amp;E$2</f>
        <v>mepef</v>
      </c>
      <c r="F126" s="151" t="s">
        <v>688</v>
      </c>
      <c r="G126" s="155" t="str">
        <f>Objet&amp;Information&amp;Action.</f>
        <v>meper</v>
      </c>
      <c r="H126" s="151" t="s">
        <v>888</v>
      </c>
      <c r="K126" s="152"/>
      <c r="M126" s="150"/>
    </row>
    <row r="127" spans="1:13" s="149" customFormat="1">
      <c r="A127" s="149" t="str">
        <f>IF(OR(MID(B127,1,2)=Radicals!$M$23,MID(B127,1,2)=Radicals!$K$15,MID(B127,1,2)=Radicals!$N$15),"P","")</f>
        <v/>
      </c>
      <c r="B127" s="314" t="str">
        <f>Element&amp;Information</f>
        <v>wepe</v>
      </c>
      <c r="C127" s="152" t="str">
        <f>$B127&amp;C$2</f>
        <v>wepen</v>
      </c>
      <c r="D127" s="149" t="s">
        <v>1014</v>
      </c>
      <c r="E127" s="152" t="str">
        <f>$B127&amp;E$2</f>
        <v>wepef</v>
      </c>
      <c r="F127" s="149" t="s">
        <v>887</v>
      </c>
      <c r="G127" s="152"/>
      <c r="K127" s="152"/>
      <c r="M127" s="150"/>
    </row>
    <row r="128" spans="1:13" s="149" customFormat="1">
      <c r="A128" s="149" t="str">
        <f>IF(OR(MID(B128,1,2)=Radicals!$M$23,MID(B128,1,2)=Radicals!$K$15,MID(B128,1,2)=Radicals!$N$15),"P","")</f>
        <v/>
      </c>
      <c r="B128" s="319" t="str">
        <f>Manner&amp;Trend.&amp;Property&amp;Information</f>
        <v>vesfepe</v>
      </c>
      <c r="C128" s="152" t="str">
        <f>$B128&amp;C$2</f>
        <v>vesfepen</v>
      </c>
      <c r="E128" s="152"/>
      <c r="G128" s="152"/>
      <c r="K128" s="152"/>
      <c r="M128" s="150"/>
    </row>
    <row r="129" spans="1:13" s="149" customFormat="1">
      <c r="A129" s="149" t="str">
        <f>IF(OR(MID(B129,1,2)=Radicals!$M$23,MID(B129,1,2)=Radicals!$K$15,MID(B129,1,2)=Radicals!$N$15),"P","")</f>
        <v/>
      </c>
      <c r="B129" s="319" t="str">
        <f>Manner&amp;Trend.&amp;Belong&amp;Information</f>
        <v>vestepe</v>
      </c>
      <c r="C129" s="152" t="str">
        <f>$B129&amp;C$2</f>
        <v>vestepen</v>
      </c>
      <c r="D129" s="149" t="s">
        <v>1013</v>
      </c>
      <c r="E129" s="152"/>
      <c r="G129" s="152"/>
      <c r="K129" s="152"/>
      <c r="M129" s="150"/>
    </row>
    <row r="130" spans="1:13" s="149" customFormat="1">
      <c r="A130" s="149" t="str">
        <f>IF(OR(MID(B130,1,2)=Radicals!$M$23,MID(B130,1,2)=Radicals!$K$15,MID(B130,1,2)=Radicals!$N$15),"P","")</f>
        <v/>
      </c>
      <c r="B130" s="315"/>
      <c r="C130" s="152"/>
      <c r="F130" s="151"/>
      <c r="G130" s="152"/>
      <c r="K130" s="152"/>
      <c r="M130" s="150"/>
    </row>
    <row r="131" spans="1:13" s="149" customFormat="1">
      <c r="A131" s="149" t="str">
        <f>IF(OR(MID(B131,1,2)=Radicals!$M$23,MID(B131,1,2)=Radicals!$K$15,MID(B131,1,2)=Radicals!$N$15),"P","")</f>
        <v>P</v>
      </c>
      <c r="B131" s="319" t="str">
        <f>Self&amp;Information</f>
        <v>wape</v>
      </c>
      <c r="C131" s="152" t="str">
        <f>$B131&amp;C$2</f>
        <v>wapen</v>
      </c>
      <c r="D131" s="149" t="s">
        <v>659</v>
      </c>
      <c r="E131" s="152" t="str">
        <f>$B131&amp;E$2</f>
        <v>wapef</v>
      </c>
      <c r="F131" s="151" t="s">
        <v>658</v>
      </c>
      <c r="G131" s="152" t="str">
        <f>$B131&amp;G$2</f>
        <v>waper</v>
      </c>
      <c r="H131" s="151" t="s">
        <v>660</v>
      </c>
      <c r="K131" s="152"/>
      <c r="M131" s="150"/>
    </row>
    <row r="132" spans="1:13">
      <c r="A132" s="149" t="str">
        <f>IF(OR(MID(B132,1,2)=Radicals!$M$23,MID(B132,1,2)=Radicals!$K$15,MID(B132,1,2)=Radicals!$N$15),"P","")</f>
        <v/>
      </c>
    </row>
    <row r="133" spans="1:13" s="149" customFormat="1">
      <c r="A133" s="149" t="str">
        <f>IF(OR(MID(B133,1,2)=Radicals!$M$23,MID(B133,1,2)=Radicals!$K$15,MID(B133,1,2)=Radicals!$N$15),"P","")</f>
        <v/>
      </c>
      <c r="B133" s="315"/>
      <c r="C133" s="152"/>
      <c r="F133" s="151"/>
      <c r="G133" s="152"/>
      <c r="K133" s="152"/>
      <c r="M133" s="150"/>
    </row>
    <row r="134" spans="1:13" s="149" customFormat="1" ht="18">
      <c r="A134" s="149" t="str">
        <f>IF(OR(MID(B134,1,2)=Radicals!$M$23,MID(B134,1,2)=Radicals!$K$15,MID(B134,1,2)=Radicals!$N$15),"P","")</f>
        <v/>
      </c>
      <c r="B134" s="316" t="s">
        <v>690</v>
      </c>
      <c r="C134" s="152"/>
      <c r="F134" s="151"/>
      <c r="G134" s="152"/>
      <c r="K134" s="152"/>
      <c r="M134" s="150"/>
    </row>
    <row r="135" spans="1:13" s="149" customFormat="1">
      <c r="A135" s="149" t="str">
        <f>IF(OR(MID(B135,1,2)=Radicals!$M$23,MID(B135,1,2)=Radicals!$K$15,MID(B135,1,2)=Radicals!$N$15),"P","")</f>
        <v/>
      </c>
      <c r="B135" s="314" t="str">
        <f>Good</f>
        <v>bo</v>
      </c>
      <c r="C135" s="152" t="str">
        <f>$B135&amp;C$2</f>
        <v>bon</v>
      </c>
      <c r="D135" s="149" t="s">
        <v>839</v>
      </c>
      <c r="E135" s="152" t="str">
        <f>$B135&amp;E$2</f>
        <v>bof</v>
      </c>
      <c r="F135" s="151" t="s">
        <v>741</v>
      </c>
      <c r="G135" s="152" t="str">
        <f>$B135&amp;G$2</f>
        <v>bor</v>
      </c>
      <c r="H135" s="151" t="s">
        <v>842</v>
      </c>
      <c r="I135" s="152" t="str">
        <f>$B135&amp;I$2</f>
        <v>bov</v>
      </c>
      <c r="J135" s="151" t="s">
        <v>851</v>
      </c>
      <c r="K135" s="152"/>
      <c r="M135" s="150"/>
    </row>
    <row r="136" spans="1:13" s="149" customFormat="1">
      <c r="A136" s="149" t="str">
        <f>IF(OR(MID(B136,1,2)=Radicals!$M$23,MID(B136,1,2)=Radicals!$K$15,MID(B136,1,2)=Radicals!$N$15),"P","")</f>
        <v/>
      </c>
      <c r="B136" s="314" t="str">
        <f>Inversion&amp;Good</f>
        <v>pabo</v>
      </c>
      <c r="C136" s="152" t="str">
        <f>$B136&amp;C$2</f>
        <v>pabon</v>
      </c>
      <c r="D136" s="149" t="s">
        <v>845</v>
      </c>
      <c r="E136" s="152" t="str">
        <f>$B136&amp;E$2</f>
        <v>pabof</v>
      </c>
      <c r="F136" s="151" t="s">
        <v>846</v>
      </c>
      <c r="G136" s="152" t="str">
        <f>$B136&amp;G$2</f>
        <v>pabor</v>
      </c>
      <c r="H136" s="151" t="s">
        <v>847</v>
      </c>
      <c r="I136" s="152" t="str">
        <f>$B136&amp;I$2</f>
        <v>pabov</v>
      </c>
      <c r="J136" s="151" t="s">
        <v>852</v>
      </c>
      <c r="K136" s="152"/>
      <c r="M136" s="150"/>
    </row>
    <row r="137" spans="1:13" s="149" customFormat="1">
      <c r="A137" s="149" t="str">
        <f>IF(OR(MID(B137,1,2)=Radicals!$M$23,MID(B137,1,2)=Radicals!$K$15,MID(B137,1,2)=Radicals!$N$15),"P","")</f>
        <v/>
      </c>
      <c r="B137" s="314" t="str">
        <f>Magnitude&amp;Inversion&amp;Good</f>
        <v>yipabo</v>
      </c>
      <c r="C137" s="152" t="str">
        <f>$B137&amp;C$2</f>
        <v>yipabon</v>
      </c>
      <c r="D137" s="149" t="s">
        <v>848</v>
      </c>
      <c r="E137" s="152" t="str">
        <f>$B137&amp;E$2</f>
        <v>yipabof</v>
      </c>
      <c r="F137" s="151" t="s">
        <v>849</v>
      </c>
      <c r="G137" s="152" t="str">
        <f>$B137&amp;G$2</f>
        <v>yipabor</v>
      </c>
      <c r="H137" s="151" t="s">
        <v>850</v>
      </c>
      <c r="I137" s="152" t="str">
        <f>$B137&amp;I$2</f>
        <v>yipabov</v>
      </c>
      <c r="J137" s="151" t="s">
        <v>853</v>
      </c>
      <c r="K137" s="152"/>
      <c r="M137" s="150"/>
    </row>
    <row r="138" spans="1:13" s="149" customFormat="1">
      <c r="A138" s="149" t="str">
        <f>IF(OR(MID(B138,1,2)=Radicals!$M$23,MID(B138,1,2)=Radicals!$K$15,MID(B138,1,2)=Radicals!$N$15),"P","")</f>
        <v/>
      </c>
      <c r="B138" s="314"/>
      <c r="C138" s="152"/>
      <c r="E138" s="152" t="s">
        <v>770</v>
      </c>
      <c r="F138" s="151"/>
      <c r="G138" s="152"/>
      <c r="I138" s="152"/>
      <c r="K138" s="152"/>
      <c r="M138" s="150"/>
    </row>
    <row r="139" spans="1:13" s="149" customFormat="1">
      <c r="A139" s="149" t="str">
        <f>IF(OR(MID(B139,1,2)=Radicals!$M$23,MID(B139,1,2)=Radicals!$K$15,MID(B139,1,2)=Radicals!$N$15),"P","")</f>
        <v/>
      </c>
      <c r="B139" s="314" t="str">
        <f>Good&amp;Information</f>
        <v>bope</v>
      </c>
      <c r="C139" s="152" t="str">
        <f>$B139&amp;C$2</f>
        <v>bopen</v>
      </c>
      <c r="D139" s="149" t="s">
        <v>652</v>
      </c>
      <c r="E139" s="152" t="str">
        <f>$B139&amp;E$2</f>
        <v>bopef</v>
      </c>
      <c r="F139" s="151" t="s">
        <v>653</v>
      </c>
      <c r="G139" s="152" t="str">
        <f>$B139&amp;G$2</f>
        <v>boper</v>
      </c>
      <c r="H139" s="151" t="s">
        <v>663</v>
      </c>
      <c r="I139" s="152"/>
      <c r="K139" s="152"/>
      <c r="M139" s="150"/>
    </row>
    <row r="140" spans="1:13" s="149" customFormat="1">
      <c r="A140" s="149" t="str">
        <f>IF(OR(MID(B140,1,2)=Radicals!$M$23,MID(B140,1,2)=Radicals!$K$15,MID(B140,1,2)=Radicals!$N$15),"P","")</f>
        <v/>
      </c>
      <c r="B140" s="314" t="str">
        <f>Inversion&amp;Good&amp;Information</f>
        <v>pabope</v>
      </c>
      <c r="C140" s="152" t="str">
        <f>$B140&amp;C$2</f>
        <v>pabopen</v>
      </c>
      <c r="D140" s="149" t="s">
        <v>662</v>
      </c>
      <c r="E140" s="152" t="str">
        <f>$B140&amp;E$2</f>
        <v>pabopef</v>
      </c>
      <c r="F140" s="151" t="s">
        <v>661</v>
      </c>
      <c r="G140" s="152" t="str">
        <f>$B140&amp;G$2</f>
        <v>paboper</v>
      </c>
      <c r="H140" s="151" t="s">
        <v>664</v>
      </c>
      <c r="I140" s="152"/>
      <c r="K140" s="152"/>
      <c r="M140" s="150"/>
    </row>
    <row r="141" spans="1:13" s="149" customFormat="1">
      <c r="A141" s="149" t="str">
        <f>IF(OR(MID(B141,1,2)=Radicals!$M$23,MID(B141,1,2)=Radicals!$K$15,MID(B141,1,2)=Radicals!$N$15),"P","")</f>
        <v/>
      </c>
      <c r="B141" s="314"/>
      <c r="C141" s="152"/>
      <c r="E141" s="152" t="s">
        <v>770</v>
      </c>
      <c r="F141" s="151"/>
      <c r="G141" s="152"/>
      <c r="H141" s="151"/>
      <c r="I141" s="152"/>
      <c r="K141" s="152"/>
      <c r="M141" s="150"/>
    </row>
    <row r="142" spans="1:13" s="149" customFormat="1">
      <c r="A142" s="149" t="str">
        <f>IF(OR(MID(B142,1,2)=Radicals!$M$23,MID(B142,1,2)=Radicals!$K$15,MID(B142,1,2)=Radicals!$N$15),"P","")</f>
        <v/>
      </c>
      <c r="B142" s="314" t="str">
        <f>Transcendance&amp;Good&amp;Manner</f>
        <v>fibove</v>
      </c>
      <c r="C142" s="152" t="str">
        <f>$B142&amp;C$2</f>
        <v>fiboven</v>
      </c>
      <c r="D142" s="149" t="s">
        <v>860</v>
      </c>
      <c r="E142" s="152" t="str">
        <f>$B142&amp;E$2</f>
        <v>fibovef</v>
      </c>
      <c r="F142" s="151" t="s">
        <v>861</v>
      </c>
      <c r="G142" s="152" t="str">
        <f>$B142&amp;G$2</f>
        <v>fibover</v>
      </c>
      <c r="H142" s="151" t="s">
        <v>862</v>
      </c>
      <c r="I142" s="152" t="str">
        <f>$B142&amp;I$2</f>
        <v>fibovev</v>
      </c>
      <c r="J142" s="151" t="s">
        <v>858</v>
      </c>
      <c r="K142" s="152"/>
      <c r="M142" s="150"/>
    </row>
    <row r="143" spans="1:13" s="149" customFormat="1">
      <c r="A143" s="149" t="str">
        <f>IF(OR(MID(B143,1,2)=Radicals!$M$23,MID(B143,1,2)=Radicals!$K$15,MID(B143,1,2)=Radicals!$N$15),"P","")</f>
        <v/>
      </c>
      <c r="B143" s="314" t="str">
        <f>Magnitude&amp;Good&amp;Manner</f>
        <v>yibove</v>
      </c>
      <c r="C143" s="152" t="str">
        <f>$B143&amp;C$2</f>
        <v>yiboven</v>
      </c>
      <c r="D143" s="149" t="s">
        <v>855</v>
      </c>
      <c r="E143" s="152" t="str">
        <f>$B143&amp;E$2</f>
        <v>yibovef</v>
      </c>
      <c r="F143" s="151" t="s">
        <v>856</v>
      </c>
      <c r="G143" s="152" t="str">
        <f>$B143&amp;G$2</f>
        <v>yibover</v>
      </c>
      <c r="H143" s="151" t="s">
        <v>857</v>
      </c>
      <c r="I143" s="152" t="str">
        <f>$B143&amp;I$2</f>
        <v>yibovev</v>
      </c>
      <c r="J143" s="151" t="s">
        <v>859</v>
      </c>
      <c r="K143" s="152"/>
      <c r="M143" s="150"/>
    </row>
    <row r="144" spans="1:13" s="149" customFormat="1">
      <c r="A144" s="149" t="str">
        <f>IF(OR(MID(B144,1,2)=Radicals!$M$23,MID(B144,1,2)=Radicals!$K$15,MID(B144,1,2)=Radicals!$N$15),"P","")</f>
        <v/>
      </c>
      <c r="B144" s="319" t="str">
        <f>Good&amp;Manner</f>
        <v>bove</v>
      </c>
      <c r="C144" s="152" t="str">
        <f>$B144&amp;C$2</f>
        <v>boven</v>
      </c>
      <c r="D144" s="149" t="s">
        <v>1042</v>
      </c>
      <c r="E144" s="152" t="str">
        <f>$B144&amp;E$2</f>
        <v>bovef</v>
      </c>
      <c r="F144" s="151" t="s">
        <v>667</v>
      </c>
      <c r="G144" s="152" t="str">
        <f>$B144&amp;G$2</f>
        <v>bover</v>
      </c>
      <c r="H144" s="151" t="s">
        <v>669</v>
      </c>
      <c r="I144" s="152" t="str">
        <f>$B144&amp;I$2</f>
        <v>bovev</v>
      </c>
      <c r="J144" s="151" t="s">
        <v>829</v>
      </c>
      <c r="K144" s="152"/>
      <c r="M144" s="150"/>
    </row>
    <row r="145" spans="1:13" s="149" customFormat="1">
      <c r="A145" s="149" t="str">
        <f>IF(OR(MID(B145,1,2)=Radicals!$M$23,MID(B145,1,2)=Radicals!$K$15,MID(B145,1,2)=Radicals!$N$15),"P","")</f>
        <v/>
      </c>
      <c r="B145" s="314" t="str">
        <f>Inversion&amp;Good&amp;Manner</f>
        <v>pabove</v>
      </c>
      <c r="C145" s="152" t="str">
        <f>$B145&amp;C$2</f>
        <v>paboven</v>
      </c>
      <c r="D145" s="149" t="s">
        <v>666</v>
      </c>
      <c r="E145" s="152" t="str">
        <f>$B145&amp;E$2</f>
        <v>pabovef</v>
      </c>
      <c r="F145" s="151" t="s">
        <v>668</v>
      </c>
      <c r="G145" s="152" t="str">
        <f>Inversion&amp;Good&amp;Manner&amp;Action.</f>
        <v>pabover</v>
      </c>
      <c r="H145" s="151" t="s">
        <v>670</v>
      </c>
      <c r="I145" s="152" t="str">
        <f>$B145&amp;I$2</f>
        <v>pabovev</v>
      </c>
      <c r="J145" s="151" t="s">
        <v>830</v>
      </c>
      <c r="K145" s="152"/>
      <c r="M145" s="150"/>
    </row>
    <row r="146" spans="1:13" s="149" customFormat="1">
      <c r="A146" s="149" t="str">
        <f>IF(OR(MID(B146,1,2)=Radicals!$M$23,MID(B146,1,2)=Radicals!$K$15,MID(B146,1,2)=Radicals!$N$15),"P","")</f>
        <v/>
      </c>
      <c r="B146" s="315"/>
      <c r="C146" s="152"/>
      <c r="E146" s="152"/>
      <c r="F146" s="151"/>
      <c r="G146" s="152"/>
      <c r="H146" s="151"/>
      <c r="K146" s="152"/>
      <c r="M146" s="150"/>
    </row>
    <row r="147" spans="1:13" s="149" customFormat="1">
      <c r="A147" s="149" t="str">
        <f>IF(OR(MID(B147,1,2)=Radicals!$M$23,MID(B147,1,2)=Radicals!$K$15,MID(B147,1,2)=Radicals!$N$15),"P","")</f>
        <v/>
      </c>
      <c r="B147" s="314" t="str">
        <f>Good&amp;Information&amp;Body</f>
        <v>bopeci</v>
      </c>
      <c r="C147" s="152" t="str">
        <f>$B147&amp;C$2</f>
        <v>bopecin</v>
      </c>
      <c r="D147" s="149" t="s">
        <v>634</v>
      </c>
      <c r="E147" s="152" t="str">
        <f>$B147&amp;E$2</f>
        <v>bopecif</v>
      </c>
      <c r="F147" s="151" t="s">
        <v>635</v>
      </c>
      <c r="G147" s="152" t="str">
        <f>$B147&amp;G$2</f>
        <v>bopecir</v>
      </c>
      <c r="H147" s="149" t="s">
        <v>682</v>
      </c>
      <c r="I147" s="152" t="str">
        <f>$B147&amp;I$2</f>
        <v>bopeciv</v>
      </c>
      <c r="J147" s="151" t="s">
        <v>836</v>
      </c>
      <c r="K147" s="152"/>
      <c r="M147" s="150"/>
    </row>
    <row r="148" spans="1:13" s="149" customFormat="1">
      <c r="A148" s="149" t="str">
        <f>IF(OR(MID(B148,1,2)=Radicals!$M$23,MID(B148,1,2)=Radicals!$K$15,MID(B148,1,2)=Radicals!$N$15),"P","")</f>
        <v/>
      </c>
      <c r="B148" s="314" t="str">
        <f>Inversion&amp;Good&amp;Information&amp;Body</f>
        <v>pabopeci</v>
      </c>
      <c r="C148" s="152" t="str">
        <f>$B148&amp;C$2</f>
        <v>pabopecin</v>
      </c>
      <c r="D148" s="149" t="s">
        <v>674</v>
      </c>
      <c r="E148" s="152" t="str">
        <f>$B148&amp;E$2</f>
        <v>pabopecif</v>
      </c>
      <c r="F148" s="151" t="s">
        <v>675</v>
      </c>
      <c r="G148" s="152" t="str">
        <f>$B148&amp;G$2</f>
        <v>pabopecir</v>
      </c>
      <c r="H148" s="149" t="s">
        <v>683</v>
      </c>
      <c r="I148" s="152" t="str">
        <f>$B148&amp;I$2</f>
        <v>pabopeciv</v>
      </c>
      <c r="J148" s="151" t="s">
        <v>837</v>
      </c>
      <c r="K148" s="152"/>
      <c r="M148" s="150"/>
    </row>
    <row r="149" spans="1:13" s="149" customFormat="1">
      <c r="B149" s="314"/>
      <c r="C149" s="152"/>
      <c r="E149" s="152"/>
      <c r="F149" s="151"/>
      <c r="G149" s="152"/>
      <c r="I149" s="152"/>
      <c r="K149" s="152"/>
      <c r="M149" s="150"/>
    </row>
    <row r="150" spans="1:13" s="149" customFormat="1">
      <c r="A150" s="149" t="str">
        <f>IF(OR(MID(B150,1,2)=Radicals!$M$23,MID(B150,1,2)=Radicals!$K$15,MID(B150,1,2)=Radicals!$N$15),"P","")</f>
        <v/>
      </c>
      <c r="B150" s="314" t="str">
        <f>Transcendance&amp;Good&amp;Will</f>
        <v>fiboze</v>
      </c>
      <c r="C150" s="152" t="str">
        <f>$B150&amp;C$2</f>
        <v>fibozen</v>
      </c>
      <c r="D150" s="149" t="s">
        <v>863</v>
      </c>
      <c r="E150" s="152" t="str">
        <f>$B150&amp;E$2</f>
        <v>fibozef</v>
      </c>
      <c r="F150" s="151" t="s">
        <v>864</v>
      </c>
      <c r="G150" s="152" t="str">
        <f>$B150&amp;G$2</f>
        <v>fibozer</v>
      </c>
      <c r="H150" s="151" t="s">
        <v>865</v>
      </c>
      <c r="I150" s="152" t="str">
        <f>$B150&amp;I$2</f>
        <v>fibozev</v>
      </c>
      <c r="J150" s="151" t="s">
        <v>869</v>
      </c>
      <c r="K150" s="152"/>
      <c r="M150" s="150"/>
    </row>
    <row r="151" spans="1:13" s="149" customFormat="1">
      <c r="A151" s="149" t="str">
        <f>IF(OR(MID(B151,1,2)=Radicals!$M$23,MID(B151,1,2)=Radicals!$K$15,MID(B151,1,2)=Radicals!$N$15),"P","")</f>
        <v/>
      </c>
      <c r="B151" s="314" t="str">
        <f>Good&amp;Will</f>
        <v>boze</v>
      </c>
      <c r="C151" s="152" t="str">
        <f>$B151&amp;C$2</f>
        <v>bozen</v>
      </c>
      <c r="D151" s="149" t="s">
        <v>685</v>
      </c>
      <c r="E151" s="152" t="str">
        <f>$B151&amp;E$2</f>
        <v>bozef</v>
      </c>
      <c r="F151" s="151" t="s">
        <v>975</v>
      </c>
      <c r="G151" s="152" t="str">
        <f>$B151&amp;G$2</f>
        <v>bozer</v>
      </c>
      <c r="H151" s="151" t="s">
        <v>866</v>
      </c>
      <c r="I151" s="152" t="str">
        <f>$B151&amp;I$2</f>
        <v>bozev</v>
      </c>
      <c r="J151" s="149" t="s">
        <v>831</v>
      </c>
      <c r="K151" s="152"/>
      <c r="M151" s="150"/>
    </row>
    <row r="152" spans="1:13" s="149" customFormat="1">
      <c r="A152" s="149" t="str">
        <f>IF(OR(MID(B152,1,2)=Radicals!$M$23,MID(B152,1,2)=Radicals!$K$15,MID(B152,1,2)=Radicals!$N$15),"P","")</f>
        <v/>
      </c>
      <c r="B152" s="314" t="str">
        <f>Inversion&amp;Good&amp;Will</f>
        <v>paboze</v>
      </c>
      <c r="C152" s="152" t="str">
        <f>$B152&amp;C$2</f>
        <v>pabozen</v>
      </c>
      <c r="D152" s="151" t="s">
        <v>844</v>
      </c>
      <c r="E152" s="152" t="str">
        <f>$B152&amp;E$2</f>
        <v>pabozef</v>
      </c>
      <c r="F152" s="151" t="s">
        <v>838</v>
      </c>
      <c r="G152" s="152" t="str">
        <f>$B152&amp;G$2</f>
        <v>pabozer</v>
      </c>
      <c r="H152" s="151" t="s">
        <v>867</v>
      </c>
      <c r="I152" s="152" t="str">
        <f>$B152&amp;I$2</f>
        <v>pabozev</v>
      </c>
      <c r="J152" s="151" t="s">
        <v>868</v>
      </c>
      <c r="K152" s="152"/>
      <c r="M152" s="150"/>
    </row>
    <row r="153" spans="1:13" s="149" customFormat="1">
      <c r="A153" s="149" t="str">
        <f>IF(OR(MID(B153,1,2)=Radicals!$M$23,MID(B153,1,2)=Radicals!$K$15,MID(B153,1,2)=Radicals!$N$15),"P","")</f>
        <v/>
      </c>
      <c r="B153" s="314" t="str">
        <f>Transcendance&amp;Inversion&amp;Good&amp;Will</f>
        <v>fipaboze</v>
      </c>
      <c r="C153" s="152" t="str">
        <f>$B153&amp;C$2</f>
        <v>fipabozen</v>
      </c>
      <c r="D153" s="149" t="s">
        <v>840</v>
      </c>
      <c r="E153" s="152" t="str">
        <f>$B153&amp;E$2</f>
        <v>fipabozef</v>
      </c>
      <c r="F153" s="151" t="s">
        <v>841</v>
      </c>
      <c r="G153" s="152" t="str">
        <f>$B153&amp;G$2</f>
        <v>fipabozer</v>
      </c>
      <c r="H153" s="151" t="s">
        <v>843</v>
      </c>
      <c r="I153" s="152" t="str">
        <f>$B153&amp;I$2</f>
        <v>fipabozev</v>
      </c>
      <c r="J153" s="151" t="s">
        <v>854</v>
      </c>
      <c r="K153" s="152"/>
      <c r="M153" s="150"/>
    </row>
    <row r="154" spans="1:13" s="149" customFormat="1">
      <c r="B154" s="314"/>
      <c r="C154" s="152"/>
      <c r="E154" s="152"/>
      <c r="F154" s="151"/>
      <c r="G154" s="152"/>
      <c r="I154" s="152"/>
      <c r="K154" s="152"/>
      <c r="M154" s="150"/>
    </row>
    <row r="155" spans="1:13" s="149" customFormat="1">
      <c r="A155" s="149" t="str">
        <f>IF(OR(MID(B155,1,2)=Radicals!$M$23,MID(B155,1,2)=Radicals!$K$15,MID(B155,1,2)=Radicals!$N$15),"P","")</f>
        <v/>
      </c>
      <c r="B155" s="314" t="str">
        <f>Satisfaction</f>
        <v>ba</v>
      </c>
      <c r="C155" s="152" t="str">
        <f>$B155&amp;C$2</f>
        <v>ban</v>
      </c>
      <c r="D155" s="151" t="s">
        <v>694</v>
      </c>
      <c r="E155" s="152" t="str">
        <f>$B155&amp;E$2</f>
        <v>baf</v>
      </c>
      <c r="F155" s="151" t="s">
        <v>691</v>
      </c>
      <c r="G155" s="152" t="str">
        <f>$B155&amp;G$2</f>
        <v>bar</v>
      </c>
      <c r="H155" s="151" t="s">
        <v>692</v>
      </c>
      <c r="I155" s="152" t="str">
        <f>$B155&amp;I$2</f>
        <v>bav</v>
      </c>
      <c r="J155" s="151" t="s">
        <v>691</v>
      </c>
      <c r="K155" s="152"/>
      <c r="M155" s="150"/>
    </row>
    <row r="156" spans="1:13" s="149" customFormat="1">
      <c r="A156" s="149" t="str">
        <f>IF(OR(MID(B156,1,2)=Radicals!$M$23,MID(B156,1,2)=Radicals!$K$15,MID(B156,1,2)=Radicals!$N$15),"P","")</f>
        <v/>
      </c>
      <c r="B156" s="314" t="str">
        <f>Inversion&amp;Satisfaction</f>
        <v>paba</v>
      </c>
      <c r="C156" s="152" t="str">
        <f>$B156&amp;C$2</f>
        <v>paban</v>
      </c>
      <c r="D156" s="151" t="s">
        <v>832</v>
      </c>
      <c r="E156" s="152" t="str">
        <f>$B156&amp;E$2</f>
        <v>pabaf</v>
      </c>
      <c r="F156" s="151" t="s">
        <v>834</v>
      </c>
      <c r="G156" s="152" t="str">
        <f>$B156&amp;G$2</f>
        <v>pabar</v>
      </c>
      <c r="H156" s="151" t="s">
        <v>835</v>
      </c>
      <c r="I156" s="152" t="str">
        <f>$B156&amp;I$2</f>
        <v>pabav</v>
      </c>
      <c r="J156" s="151" t="s">
        <v>833</v>
      </c>
      <c r="K156" s="152"/>
      <c r="M156" s="150"/>
    </row>
    <row r="157" spans="1:13" s="149" customFormat="1">
      <c r="A157" s="149" t="str">
        <f>IF(OR(MID(B157,1,2)=Radicals!$M$23,MID(B157,1,2)=Radicals!$K$15,MID(B157,1,2)=Radicals!$N$15),"P","")</f>
        <v>P</v>
      </c>
      <c r="B157" s="314" t="str">
        <f>Objet&amp;Satisfaction</f>
        <v>meba</v>
      </c>
      <c r="C157" s="152" t="str">
        <f>$B157&amp;C$2</f>
        <v>meban</v>
      </c>
      <c r="D157" s="149" t="s">
        <v>693</v>
      </c>
      <c r="E157" s="152" t="str">
        <f>$B157&amp;E$2</f>
        <v>mebaf</v>
      </c>
      <c r="F157" s="149" t="s">
        <v>695</v>
      </c>
      <c r="G157" s="152" t="str">
        <f>$B157&amp;G$2</f>
        <v>mebar</v>
      </c>
      <c r="H157" s="149" t="s">
        <v>696</v>
      </c>
      <c r="I157" s="152"/>
      <c r="K157" s="152"/>
      <c r="M157" s="150"/>
    </row>
    <row r="158" spans="1:13" s="149" customFormat="1">
      <c r="A158" s="149" t="str">
        <f>IF(OR(MID(B158,1,2)=Radicals!$M$23,MID(B158,1,2)=Radicals!$K$15,MID(B158,1,2)=Radicals!$N$15),"P","")</f>
        <v/>
      </c>
      <c r="B158" s="315"/>
      <c r="C158" s="152"/>
      <c r="E158" s="152"/>
      <c r="F158" s="151"/>
      <c r="G158" s="152"/>
      <c r="H158" s="151"/>
      <c r="K158" s="152"/>
      <c r="M158" s="150"/>
    </row>
    <row r="159" spans="1:13" s="149" customFormat="1" ht="18">
      <c r="A159" s="149" t="str">
        <f>IF(OR(MID(B159,1,2)=Radicals!$M$23,MID(B159,1,2)=Radicals!$K$15,MID(B159,1,2)=Radicals!$N$15),"P","")</f>
        <v/>
      </c>
      <c r="B159" s="316" t="s">
        <v>363</v>
      </c>
      <c r="E159" s="152"/>
      <c r="F159" s="151"/>
      <c r="G159" s="152"/>
      <c r="H159" s="151"/>
      <c r="K159" s="152"/>
      <c r="M159" s="150"/>
    </row>
    <row r="160" spans="1:13" s="149" customFormat="1">
      <c r="A160" s="149" t="str">
        <f>IF(OR(MID(B160,1,2)=Radicals!$M$23,MID(B160,1,2)=Radicals!$K$15,MID(B160,1,2)=Radicals!$N$15),"P","")</f>
        <v/>
      </c>
      <c r="B160" s="314" t="str">
        <f>Contribution</f>
        <v>si</v>
      </c>
      <c r="C160" s="152" t="str">
        <f>$B160&amp;C$2</f>
        <v>sin</v>
      </c>
      <c r="D160" s="149" t="s">
        <v>821</v>
      </c>
      <c r="E160" s="152" t="str">
        <f>$B160&amp;E$2</f>
        <v>sif</v>
      </c>
      <c r="F160" s="151" t="s">
        <v>825</v>
      </c>
      <c r="G160" s="152" t="str">
        <f>$B160&amp;G$2</f>
        <v>sir</v>
      </c>
      <c r="H160" s="151" t="s">
        <v>822</v>
      </c>
      <c r="I160" s="152" t="str">
        <f>$B160&amp;I$2</f>
        <v>siv</v>
      </c>
      <c r="J160" s="151" t="s">
        <v>827</v>
      </c>
      <c r="K160" s="152" t="str">
        <f>$B160&amp;K$2</f>
        <v>si</v>
      </c>
      <c r="L160" s="149" t="s">
        <v>891</v>
      </c>
      <c r="M160" s="150"/>
    </row>
    <row r="161" spans="1:13" s="149" customFormat="1">
      <c r="A161" s="149" t="str">
        <f>IF(OR(MID(B161,1,2)=Radicals!$M$23,MID(B161,1,2)=Radicals!$K$15,MID(B161,1,2)=Radicals!$N$15),"P","")</f>
        <v/>
      </c>
      <c r="B161" s="314" t="str">
        <f>Inversion&amp;Contribution</f>
        <v>pasi</v>
      </c>
      <c r="C161" s="152" t="str">
        <f>$B161&amp;C$2</f>
        <v>pasin</v>
      </c>
      <c r="D161" s="149" t="s">
        <v>823</v>
      </c>
      <c r="E161" s="152" t="str">
        <f>$B161&amp;E$2</f>
        <v>pasif</v>
      </c>
      <c r="F161" s="151" t="s">
        <v>826</v>
      </c>
      <c r="G161" s="152" t="str">
        <f>$B161&amp;G$2</f>
        <v>pasir</v>
      </c>
      <c r="H161" s="151" t="s">
        <v>824</v>
      </c>
      <c r="I161" s="152" t="str">
        <f>$B161&amp;I$2</f>
        <v>pasiv</v>
      </c>
      <c r="J161" s="151" t="s">
        <v>828</v>
      </c>
      <c r="K161" s="152" t="str">
        <f>$B161&amp;K$2</f>
        <v>pasi</v>
      </c>
      <c r="L161" s="149" t="s">
        <v>457</v>
      </c>
      <c r="M161" s="150"/>
    </row>
    <row r="162" spans="1:13" s="149" customFormat="1">
      <c r="A162" s="149" t="str">
        <f>IF(OR(MID(B162,1,2)=Radicals!$M$23,MID(B162,1,2)=Radicals!$K$15,MID(B162,1,2)=Radicals!$N$15),"P","")</f>
        <v/>
      </c>
      <c r="B162" s="314"/>
      <c r="C162" s="152"/>
      <c r="E162" s="152"/>
      <c r="F162" s="151"/>
      <c r="G162" s="152"/>
      <c r="K162" s="152"/>
      <c r="M162" s="150"/>
    </row>
    <row r="163" spans="1:13" s="149" customFormat="1">
      <c r="A163" s="149" t="str">
        <f>IF(OR(MID(B163,1,2)=Radicals!$M$23,MID(B163,1,2)=Radicals!$K$15,MID(B163,1,2)=Radicals!$N$15),"P","")</f>
        <v/>
      </c>
      <c r="B163" s="319" t="str">
        <f>Group&amp;Trend</f>
        <v>yese</v>
      </c>
      <c r="C163" s="152" t="str">
        <f>$B163&amp;C$2</f>
        <v>yesen</v>
      </c>
      <c r="D163" s="149" t="s">
        <v>879</v>
      </c>
      <c r="E163" s="152"/>
      <c r="F163" s="151"/>
      <c r="G163" s="152"/>
      <c r="K163" s="152"/>
      <c r="M163" s="150"/>
    </row>
    <row r="164" spans="1:13" s="149" customFormat="1">
      <c r="A164" s="149" t="str">
        <f>IF(OR(MID(B164,1,2)=Radicals!$M$23,MID(B164,1,2)=Radicals!$K$15,MID(B164,1,2)=Radicals!$N$15),"P","")</f>
        <v/>
      </c>
      <c r="B164" s="314" t="str">
        <f>Inversion&amp;Contribution&amp;Group&amp;Trend</f>
        <v>pasiyese</v>
      </c>
      <c r="C164" s="152" t="str">
        <f>$B164&amp;C$2</f>
        <v>pasiyesen</v>
      </c>
      <c r="D164" s="149" t="s">
        <v>877</v>
      </c>
      <c r="E164" s="152"/>
      <c r="F164" s="151"/>
      <c r="G164" s="152" t="str">
        <f>$B164&amp;G$2</f>
        <v>pasiyeser</v>
      </c>
      <c r="H164" s="149" t="s">
        <v>880</v>
      </c>
      <c r="K164" s="152"/>
      <c r="M164" s="150"/>
    </row>
    <row r="165" spans="1:13" s="149" customFormat="1">
      <c r="A165" s="149" t="str">
        <f>IF(OR(MID(B165,1,2)=Radicals!$M$23,MID(B165,1,2)=Radicals!$K$15,MID(B165,1,2)=Radicals!$N$15),"P","")</f>
        <v/>
      </c>
      <c r="B165" s="319" t="str">
        <f>Space&amp;Inversion&amp;Origin&amp;Inversion&amp;Contribution&amp;Group&amp;Trend</f>
        <v>lapatupasiyese</v>
      </c>
      <c r="C165" s="152" t="str">
        <f>$B165&amp;C$2</f>
        <v>lapatupasiyesen</v>
      </c>
      <c r="D165" s="149" t="s">
        <v>878</v>
      </c>
      <c r="F165" s="151"/>
      <c r="G165" s="152"/>
      <c r="H165" s="150"/>
      <c r="K165" s="152"/>
      <c r="M165" s="150"/>
    </row>
    <row r="166" spans="1:13" s="149" customFormat="1">
      <c r="A166" s="149" t="str">
        <f>IF(OR(MID(B166,1,2)=Radicals!$M$23,MID(B166,1,2)=Radicals!$K$15,MID(B166,1,2)=Radicals!$N$15),"P","")</f>
        <v/>
      </c>
      <c r="B166" s="315"/>
      <c r="F166" s="151"/>
      <c r="G166" s="152"/>
      <c r="H166" s="150"/>
      <c r="K166" s="152"/>
      <c r="M166" s="150"/>
    </row>
    <row r="167" spans="1:13" s="149" customFormat="1">
      <c r="A167" s="149" t="str">
        <f>IF(OR(MID(B167,1,2)=Radicals!$M$23,MID(B167,1,2)=Radicals!$K$15,MID(B167,1,2)=Radicals!$N$15),"P","")</f>
        <v/>
      </c>
      <c r="B167" s="315"/>
      <c r="C167" s="152"/>
      <c r="E167" s="152"/>
      <c r="F167" s="151"/>
      <c r="G167" s="152"/>
      <c r="K167" s="152"/>
      <c r="M167" s="150"/>
    </row>
    <row r="168" spans="1:13" s="149" customFormat="1" ht="18">
      <c r="A168" s="149" t="str">
        <f>IF(OR(MID(B168,1,2)=Radicals!$M$23,MID(B168,1,2)=Radicals!$K$15,MID(B168,1,2)=Radicals!$N$15),"P","")</f>
        <v/>
      </c>
      <c r="B168" s="316" t="s">
        <v>484</v>
      </c>
      <c r="C168" s="152"/>
      <c r="F168" s="151"/>
      <c r="G168" s="152"/>
      <c r="K168" s="152"/>
      <c r="M168" s="150"/>
    </row>
    <row r="169" spans="1:13" s="149" customFormat="1">
      <c r="A169" s="149" t="str">
        <f>IF(OR(MID(B169,1,2)=Radicals!$M$23,MID(B169,1,2)=Radicals!$K$15,MID(B169,1,2)=Radicals!$N$15),"P","")</f>
        <v/>
      </c>
      <c r="B169" s="314" t="str">
        <f>Will</f>
        <v>ze</v>
      </c>
      <c r="C169" s="152" t="str">
        <f>$B169&amp;C$2</f>
        <v>zen</v>
      </c>
      <c r="D169" s="149" t="s">
        <v>676</v>
      </c>
      <c r="E169" s="152"/>
      <c r="F169" s="151"/>
      <c r="G169" s="152" t="str">
        <f>$B169&amp;G$2</f>
        <v>zer</v>
      </c>
      <c r="H169" s="151" t="s">
        <v>585</v>
      </c>
      <c r="K169" s="154" t="str">
        <f>Will&amp;JOKER.</f>
        <v>zeh</v>
      </c>
      <c r="L169" s="149" t="s">
        <v>592</v>
      </c>
      <c r="M169" s="150"/>
    </row>
    <row r="170" spans="1:13" s="149" customFormat="1">
      <c r="A170" s="149" t="str">
        <f>IF(OR(MID(B170,1,2)=Radicals!$M$23,MID(B170,1,2)=Radicals!$K$15,MID(B170,1,2)=Radicals!$N$15),"P","")</f>
        <v>P</v>
      </c>
      <c r="B170" s="314" t="str">
        <f>Objet&amp;Will</f>
        <v>meze</v>
      </c>
      <c r="C170" s="152" t="str">
        <f>$B170&amp;C$2</f>
        <v>mezen</v>
      </c>
      <c r="D170" s="149" t="s">
        <v>698</v>
      </c>
      <c r="E170" s="152" t="str">
        <f>$B170&amp;E$2</f>
        <v>mezef</v>
      </c>
      <c r="F170" s="151" t="s">
        <v>697</v>
      </c>
      <c r="G170" s="152" t="str">
        <f>$B170&amp;G$2</f>
        <v>mezer</v>
      </c>
      <c r="H170" s="151" t="s">
        <v>699</v>
      </c>
      <c r="K170" s="152"/>
      <c r="M170" s="150"/>
    </row>
    <row r="171" spans="1:13" s="149" customFormat="1">
      <c r="A171" s="149" t="str">
        <f>IF(OR(MID(B171,1,2)=Radicals!$M$23,MID(B171,1,2)=Radicals!$K$15,MID(B171,1,2)=Radicals!$N$15),"P","")</f>
        <v/>
      </c>
      <c r="B171" s="319" t="str">
        <f>Will&amp;Action</f>
        <v>zere</v>
      </c>
      <c r="C171" s="152" t="str">
        <f>$B171&amp;C$2</f>
        <v>zeren</v>
      </c>
      <c r="D171" s="149" t="s">
        <v>686</v>
      </c>
      <c r="E171" s="152"/>
      <c r="F171" s="151"/>
      <c r="G171" s="152"/>
      <c r="H171" s="151"/>
      <c r="K171" s="152"/>
      <c r="M171" s="150"/>
    </row>
    <row r="172" spans="1:13" s="149" customFormat="1">
      <c r="A172" s="149" t="str">
        <f>IF(OR(MID(B172,1,2)=Radicals!$M$23,MID(B172,1,2)=Radicals!$K$15,MID(B172,1,2)=Radicals!$N$15),"P","")</f>
        <v/>
      </c>
      <c r="B172" s="314"/>
      <c r="C172" s="152"/>
      <c r="E172" s="152"/>
      <c r="F172" s="151"/>
      <c r="G172" s="152"/>
      <c r="H172" s="151"/>
      <c r="K172" s="152"/>
      <c r="M172" s="150"/>
    </row>
    <row r="173" spans="1:13" s="149" customFormat="1">
      <c r="A173" s="149" t="str">
        <f>IF(OR(MID(B173,1,2)=Radicals!$M$23,MID(B173,1,2)=Radicals!$K$15,MID(B173,1,2)=Radicals!$N$15),"P","")</f>
        <v/>
      </c>
      <c r="B173" s="314" t="str">
        <f>Will&amp;Information</f>
        <v>zepe</v>
      </c>
      <c r="C173" s="152" t="str">
        <f>$B173&amp;C$2</f>
        <v>zepen</v>
      </c>
      <c r="D173" s="149" t="s">
        <v>599</v>
      </c>
      <c r="E173" s="152" t="str">
        <f>$B173&amp;E$2</f>
        <v>zepef</v>
      </c>
      <c r="F173" s="149" t="s">
        <v>600</v>
      </c>
      <c r="G173" s="150"/>
      <c r="H173" s="150"/>
      <c r="I173" s="152" t="str">
        <f>$B173&amp;I$2</f>
        <v>zepev</v>
      </c>
      <c r="J173" s="149" t="s">
        <v>677</v>
      </c>
      <c r="K173" s="152"/>
      <c r="M173" s="150"/>
    </row>
    <row r="174" spans="1:13" s="149" customFormat="1">
      <c r="A174" s="149" t="str">
        <f>IF(OR(MID(B174,1,2)=Radicals!$M$23,MID(B174,1,2)=Radicals!$K$15,MID(B174,1,2)=Radicals!$N$15),"P","")</f>
        <v/>
      </c>
      <c r="B174" s="319" t="str">
        <f>Will&amp;Good&amp;Manner</f>
        <v>zebove</v>
      </c>
      <c r="C174" s="152" t="str">
        <f>$B174&amp;C$2</f>
        <v>zeboven</v>
      </c>
      <c r="D174" s="149" t="s">
        <v>678</v>
      </c>
      <c r="E174" s="152" t="str">
        <f>$B174&amp;E$2</f>
        <v>zebovef</v>
      </c>
      <c r="F174" s="151" t="s">
        <v>679</v>
      </c>
      <c r="G174" s="152"/>
      <c r="H174" s="151"/>
      <c r="I174" s="152" t="str">
        <f>$B174&amp;I$2</f>
        <v>zebovev</v>
      </c>
      <c r="J174" s="151" t="s">
        <v>680</v>
      </c>
      <c r="K174" s="152"/>
      <c r="M174" s="150"/>
    </row>
    <row r="175" spans="1:13" s="149" customFormat="1">
      <c r="A175" s="149" t="str">
        <f>IF(OR(MID(B175,1,2)=Radicals!$M$23,MID(B175,1,2)=Radicals!$K$15,MID(B175,1,2)=Radicals!$N$15),"P","")</f>
        <v/>
      </c>
      <c r="B175" s="315"/>
      <c r="E175" s="152"/>
      <c r="F175" s="151"/>
      <c r="G175" s="152"/>
      <c r="H175" s="151"/>
      <c r="K175" s="152"/>
      <c r="M175" s="150"/>
    </row>
    <row r="176" spans="1:13" s="149" customFormat="1">
      <c r="A176" s="149" t="str">
        <f>IF(OR(MID(B176,1,2)=Radicals!$M$23,MID(B176,1,2)=Radicals!$K$15,MID(B176,1,2)=Radicals!$N$15),"P","")</f>
        <v/>
      </c>
      <c r="B176" s="315"/>
      <c r="C176" s="152"/>
      <c r="E176" s="152"/>
      <c r="F176" s="151"/>
      <c r="G176" s="152"/>
      <c r="H176" s="151"/>
      <c r="K176" s="152"/>
      <c r="M176" s="150"/>
    </row>
    <row r="177" spans="1:13" s="149" customFormat="1" ht="18">
      <c r="A177" s="149" t="str">
        <f>IF(OR(MID(B177,1,2)=Radicals!$M$23,MID(B177,1,2)=Radicals!$K$15,MID(B177,1,2)=Radicals!$N$15),"P","")</f>
        <v/>
      </c>
      <c r="B177" s="316" t="s">
        <v>486</v>
      </c>
      <c r="C177" s="152"/>
      <c r="E177" s="152"/>
      <c r="F177" s="151"/>
      <c r="G177" s="152"/>
      <c r="H177" s="151"/>
      <c r="K177" s="152"/>
      <c r="M177" s="150"/>
    </row>
    <row r="178" spans="1:13" s="149" customFormat="1">
      <c r="A178" s="149" t="str">
        <f>IF(OR(MID(B178,1,2)=Radicals!$M$23,MID(B178,1,2)=Radicals!$K$15,MID(B178,1,2)=Radicals!$N$15),"P","")</f>
        <v/>
      </c>
      <c r="B178" s="314" t="str">
        <f>Power</f>
        <v>ro</v>
      </c>
      <c r="C178" s="152" t="str">
        <f t="shared" ref="C178:C183" si="5">$B178&amp;C$2</f>
        <v>ron</v>
      </c>
      <c r="D178" s="149" t="s">
        <v>923</v>
      </c>
      <c r="E178" s="152" t="str">
        <f>$B178&amp;E$2</f>
        <v>rof</v>
      </c>
      <c r="F178" s="149" t="s">
        <v>920</v>
      </c>
      <c r="G178" s="152" t="str">
        <f>$B178&amp;G$2</f>
        <v>ror</v>
      </c>
      <c r="H178" s="149" t="s">
        <v>907</v>
      </c>
      <c r="I178" s="152" t="str">
        <f>$B178&amp;I$2</f>
        <v>rov</v>
      </c>
      <c r="J178" s="149" t="s">
        <v>921</v>
      </c>
      <c r="K178" s="152"/>
      <c r="M178" s="150"/>
    </row>
    <row r="179" spans="1:13" s="149" customFormat="1">
      <c r="A179" s="149" t="str">
        <f>IF(OR(MID(B179,1,2)=Radicals!$M$23,MID(B179,1,2)=Radicals!$K$15,MID(B179,1,2)=Radicals!$N$15),"P","")</f>
        <v/>
      </c>
      <c r="B179" s="314" t="str">
        <f>Power&amp;Existence</f>
        <v>rodi</v>
      </c>
      <c r="C179" s="152" t="str">
        <f t="shared" si="5"/>
        <v>rodin</v>
      </c>
      <c r="D179" s="149" t="s">
        <v>908</v>
      </c>
      <c r="E179" s="152" t="str">
        <f>$B179&amp;E$2</f>
        <v>rodif</v>
      </c>
      <c r="F179" s="149" t="s">
        <v>909</v>
      </c>
      <c r="G179" s="152" t="str">
        <f>$B179&amp;G$2</f>
        <v>rodir</v>
      </c>
      <c r="H179" s="149" t="s">
        <v>910</v>
      </c>
      <c r="I179" s="152" t="str">
        <f>$B179&amp;I$2</f>
        <v>rodiv</v>
      </c>
      <c r="J179" s="149" t="s">
        <v>922</v>
      </c>
      <c r="K179" s="152"/>
      <c r="M179" s="150"/>
    </row>
    <row r="180" spans="1:13" s="149" customFormat="1">
      <c r="A180" s="149" t="str">
        <f>IF(OR(MID(B180,1,2)=Radicals!$M$23,MID(B180,1,2)=Radicals!$K$15,MID(B180,1,2)=Radicals!$N$15),"P","")</f>
        <v/>
      </c>
      <c r="B180" s="319" t="str">
        <f>Inversion&amp;Power</f>
        <v>paro</v>
      </c>
      <c r="C180" s="152" t="str">
        <f t="shared" si="5"/>
        <v>paron</v>
      </c>
      <c r="D180" s="149" t="s">
        <v>957</v>
      </c>
      <c r="E180" s="152" t="str">
        <f>$B180&amp;E$2</f>
        <v>parof</v>
      </c>
      <c r="F180" s="149" t="s">
        <v>912</v>
      </c>
      <c r="G180" s="152" t="str">
        <f>$B180&amp;G$2</f>
        <v>paror</v>
      </c>
      <c r="H180" s="149" t="s">
        <v>913</v>
      </c>
      <c r="I180" s="152" t="str">
        <f>$B180&amp;I$2</f>
        <v>parov</v>
      </c>
      <c r="J180" s="149" t="s">
        <v>914</v>
      </c>
      <c r="K180" s="152"/>
      <c r="M180" s="150"/>
    </row>
    <row r="181" spans="1:13" s="149" customFormat="1">
      <c r="A181" s="149" t="str">
        <f>IF(OR(MID(B181,1,2)=Radicals!$M$23,MID(B181,1,2)=Radicals!$K$15,MID(B181,1,2)=Radicals!$N$15),"P","")</f>
        <v>P</v>
      </c>
      <c r="B181" s="324" t="str">
        <f>Self&amp;Inversion&amp;Power</f>
        <v>waparo</v>
      </c>
      <c r="C181" s="152" t="str">
        <f t="shared" si="5"/>
        <v>waparon</v>
      </c>
      <c r="D181" s="149" t="s">
        <v>915</v>
      </c>
      <c r="E181" s="152" t="str">
        <f>$B181&amp;E$2</f>
        <v>waparof</v>
      </c>
      <c r="F181" s="149" t="s">
        <v>917</v>
      </c>
      <c r="G181" s="152" t="str">
        <f>$B181&amp;G$2</f>
        <v>waparor</v>
      </c>
      <c r="H181" s="149" t="s">
        <v>916</v>
      </c>
      <c r="I181" s="152" t="str">
        <f>$B181&amp;I$2</f>
        <v>waparov</v>
      </c>
      <c r="J181" s="149" t="s">
        <v>918</v>
      </c>
      <c r="K181" s="152"/>
      <c r="M181" s="150"/>
    </row>
    <row r="182" spans="1:13" s="149" customFormat="1">
      <c r="A182" s="149" t="str">
        <f>IF(OR(MID(B182,1,2)=Radicals!$M$23,MID(B182,1,2)=Radicals!$K$15,MID(B182,1,2)=Radicals!$N$15),"P","")</f>
        <v/>
      </c>
      <c r="B182" s="314" t="str">
        <f>Negation&amp;Power</f>
        <v>poro</v>
      </c>
      <c r="C182" s="152" t="str">
        <f t="shared" si="5"/>
        <v>poron</v>
      </c>
      <c r="D182" s="149" t="s">
        <v>919</v>
      </c>
      <c r="E182" s="152" t="str">
        <f>$B182&amp;E$2</f>
        <v>porof</v>
      </c>
      <c r="F182" s="149" t="s">
        <v>925</v>
      </c>
      <c r="G182" s="152" t="str">
        <f>$B182&amp;G$2</f>
        <v>poror</v>
      </c>
      <c r="H182" s="149" t="s">
        <v>1043</v>
      </c>
      <c r="K182" s="152"/>
      <c r="M182" s="150"/>
    </row>
    <row r="183" spans="1:13" s="149" customFormat="1">
      <c r="A183" s="149" t="str">
        <f>IF(OR(MID(B183,1,2)=Radicals!$M$23,MID(B183,1,2)=Radicals!$K$15,MID(B183,1,2)=Radicals!$N$15),"P","")</f>
        <v/>
      </c>
      <c r="B183" s="314" t="str">
        <f>Thing&amp;Negation&amp;Power</f>
        <v>neporo</v>
      </c>
      <c r="C183" s="152" t="str">
        <f t="shared" si="5"/>
        <v>neporon</v>
      </c>
      <c r="D183" s="149" t="s">
        <v>877</v>
      </c>
      <c r="E183" s="152"/>
      <c r="F183" s="151"/>
      <c r="G183" s="152"/>
      <c r="K183" s="152"/>
      <c r="M183" s="150"/>
    </row>
    <row r="184" spans="1:13" s="149" customFormat="1">
      <c r="A184" s="149" t="str">
        <f>IF(OR(MID(B184,1,2)=Radicals!$M$23,MID(B184,1,2)=Radicals!$K$15,MID(B184,1,2)=Radicals!$N$15),"P","")</f>
        <v/>
      </c>
      <c r="B184" s="315"/>
      <c r="C184" s="152"/>
      <c r="E184" s="152"/>
      <c r="F184" s="151"/>
      <c r="G184" s="152" t="str">
        <f>Trend&amp;Negation&amp;Power&amp;Action.</f>
        <v>seporor</v>
      </c>
      <c r="H184" s="149" t="s">
        <v>1040</v>
      </c>
      <c r="K184" s="152"/>
      <c r="M184" s="150"/>
    </row>
    <row r="185" spans="1:13" s="149" customFormat="1">
      <c r="A185" s="149" t="str">
        <f>IF(OR(MID(B185,1,2)=Radicals!$M$23,MID(B185,1,2)=Radicals!$K$15,MID(B185,1,2)=Radicals!$N$15),"P","")</f>
        <v/>
      </c>
      <c r="B185" s="315"/>
      <c r="C185" s="152"/>
      <c r="E185" s="152"/>
      <c r="F185" s="151"/>
      <c r="G185" s="152" t="str">
        <f>Trend&amp;Power&amp;Action.</f>
        <v>seror</v>
      </c>
      <c r="H185" s="149" t="s">
        <v>1041</v>
      </c>
      <c r="K185" s="152"/>
      <c r="M185" s="150"/>
    </row>
    <row r="186" spans="1:13" s="149" customFormat="1" ht="18">
      <c r="A186" s="149" t="str">
        <f>IF(OR(MID(B186,1,2)=Radicals!$M$23,MID(B186,1,2)=Radicals!$K$15,MID(B186,1,2)=Radicals!$N$15),"P","")</f>
        <v/>
      </c>
      <c r="B186" s="316" t="s">
        <v>966</v>
      </c>
      <c r="C186" s="152"/>
      <c r="E186" s="152"/>
      <c r="F186" s="151"/>
      <c r="G186" s="152"/>
      <c r="K186" s="152"/>
      <c r="M186" s="150"/>
    </row>
    <row r="187" spans="1:13" s="149" customFormat="1">
      <c r="A187" s="149" t="str">
        <f>IF(OR(MID(B187,1,2)=Radicals!$M$23,MID(B187,1,2)=Radicals!$K$15,MID(B187,1,2)=Radicals!$N$15),"P","")</f>
        <v/>
      </c>
      <c r="B187" s="314" t="str">
        <f>Power&amp;Law</f>
        <v>roxa</v>
      </c>
      <c r="C187" s="152" t="str">
        <f>$B187&amp;C$2</f>
        <v>roxan</v>
      </c>
      <c r="D187" s="149" t="s">
        <v>665</v>
      </c>
      <c r="E187" s="152" t="str">
        <f>$B187&amp;E$2</f>
        <v>roxaf</v>
      </c>
      <c r="F187" s="149" t="s">
        <v>963</v>
      </c>
      <c r="G187" s="152" t="str">
        <f>$B187&amp;G$2</f>
        <v>roxar</v>
      </c>
      <c r="H187" s="149" t="s">
        <v>962</v>
      </c>
      <c r="I187" s="152" t="str">
        <f>$B187&amp;I$2</f>
        <v>roxav</v>
      </c>
      <c r="J187" s="149" t="s">
        <v>964</v>
      </c>
      <c r="K187" s="152"/>
      <c r="M187" s="150"/>
    </row>
    <row r="188" spans="1:13" s="149" customFormat="1">
      <c r="A188" s="149" t="str">
        <f>IF(OR(MID(B188,1,2)=Radicals!$M$23,MID(B188,1,2)=Radicals!$K$15,MID(B188,1,2)=Radicals!$N$15),"P","")</f>
        <v/>
      </c>
      <c r="B188" s="314" t="str">
        <f>Inversion&amp;Power&amp;Law</f>
        <v>paroxa</v>
      </c>
      <c r="C188" s="152" t="str">
        <f>$B188&amp;C$2</f>
        <v>paroxan</v>
      </c>
      <c r="D188" s="149" t="s">
        <v>911</v>
      </c>
      <c r="E188" s="152" t="str">
        <f>$B188&amp;E$2</f>
        <v>paroxaf</v>
      </c>
      <c r="F188" s="149" t="s">
        <v>981</v>
      </c>
      <c r="G188" s="152" t="str">
        <f>$B188&amp;G$2</f>
        <v>paroxar</v>
      </c>
      <c r="H188" s="149" t="s">
        <v>913</v>
      </c>
      <c r="I188" s="152" t="str">
        <f>$B188&amp;I$2</f>
        <v>paroxav</v>
      </c>
      <c r="J188" s="149" t="s">
        <v>965</v>
      </c>
      <c r="K188" s="152"/>
      <c r="M188" s="150"/>
    </row>
    <row r="189" spans="1:13" s="149" customFormat="1">
      <c r="A189" s="149" t="str">
        <f>IF(OR(MID(B189,1,2)=Radicals!$M$23,MID(B189,1,2)=Radicals!$K$15,MID(B189,1,2)=Radicals!$N$15),"P","")</f>
        <v/>
      </c>
      <c r="B189" s="314" t="str">
        <f>Negation&amp;Power&amp;Law</f>
        <v>poroxa</v>
      </c>
      <c r="C189" s="152" t="str">
        <f>$B189&amp;C$2</f>
        <v>poroxan</v>
      </c>
      <c r="D189" s="149" t="s">
        <v>967</v>
      </c>
      <c r="E189" s="152" t="str">
        <f>$B189&amp;E$2</f>
        <v>poroxaf</v>
      </c>
      <c r="F189" s="151" t="s">
        <v>958</v>
      </c>
      <c r="G189" s="152" t="str">
        <f>$B189&amp;G$2</f>
        <v>poroxar</v>
      </c>
      <c r="H189" s="149" t="s">
        <v>960</v>
      </c>
      <c r="K189" s="152"/>
      <c r="M189" s="150"/>
    </row>
    <row r="190" spans="1:13" s="149" customFormat="1">
      <c r="A190" s="149" t="str">
        <f>IF(OR(MID(B190,1,2)=Radicals!$M$23,MID(B190,1,2)=Radicals!$K$15,MID(B190,1,2)=Radicals!$N$15),"P","")</f>
        <v/>
      </c>
      <c r="B190" s="314" t="str">
        <f>Trend.&amp;Property&amp;Power&amp;Law</f>
        <v>sferoxa</v>
      </c>
      <c r="C190" s="152" t="str">
        <f>$B190&amp;C$2</f>
        <v>sferoxan</v>
      </c>
      <c r="D190" s="149" t="s">
        <v>1045</v>
      </c>
      <c r="E190" s="152"/>
      <c r="F190" s="151"/>
      <c r="G190" s="152"/>
      <c r="K190" s="152"/>
      <c r="M190" s="150"/>
    </row>
    <row r="191" spans="1:13" s="149" customFormat="1">
      <c r="A191" s="149" t="str">
        <f>IF(OR(MID(B191,1,2)=Radicals!$M$23,MID(B191,1,2)=Radicals!$K$15,MID(B191,1,2)=Radicals!$N$15),"P","")</f>
        <v>P</v>
      </c>
      <c r="B191" s="314" t="str">
        <f>Objet&amp;Trend.&amp;Property&amp;Power&amp;Law</f>
        <v>mesferoxa</v>
      </c>
      <c r="C191" s="152" t="str">
        <f>$B191&amp;C$2</f>
        <v>mesferoxan</v>
      </c>
      <c r="D191" s="149" t="s">
        <v>1046</v>
      </c>
      <c r="E191" s="152" t="str">
        <f>$B191&amp;E$2</f>
        <v>mesferoxaf</v>
      </c>
      <c r="F191" s="149" t="s">
        <v>1047</v>
      </c>
      <c r="G191" s="152" t="str">
        <f>$B191&amp;G$2</f>
        <v>mesferoxar</v>
      </c>
      <c r="H191" s="149" t="s">
        <v>1048</v>
      </c>
      <c r="I191" s="152" t="str">
        <f>$B191&amp;I$2</f>
        <v>mesferoxav</v>
      </c>
      <c r="J191" s="149" t="s">
        <v>1049</v>
      </c>
      <c r="K191" s="152"/>
      <c r="M191" s="150"/>
    </row>
    <row r="192" spans="1:13" s="149" customFormat="1">
      <c r="A192" s="149" t="str">
        <f>IF(OR(MID(B192,1,2)=Radicals!$M$23,MID(B192,1,2)=Radicals!$K$15,MID(B192,1,2)=Radicals!$N$15),"P","")</f>
        <v/>
      </c>
      <c r="B192" s="314" t="str">
        <f>Trend&amp;Power&amp;Law</f>
        <v>seroxa</v>
      </c>
      <c r="F192" s="151"/>
      <c r="G192" s="152" t="str">
        <f>$B192&amp;G$2</f>
        <v>seroxar</v>
      </c>
      <c r="H192" s="149" t="s">
        <v>961</v>
      </c>
      <c r="K192" s="152"/>
      <c r="M192" s="150"/>
    </row>
    <row r="193" spans="1:13" s="149" customFormat="1">
      <c r="A193" s="149" t="str">
        <f>IF(OR(MID(B193,1,2)=Radicals!$M$23,MID(B193,1,2)=Radicals!$K$15,MID(B193,1,2)=Radicals!$N$15),"P","")</f>
        <v/>
      </c>
      <c r="B193" s="314" t="str">
        <f>Trend&amp;Negation&amp;Power&amp;Law</f>
        <v>seporoxa</v>
      </c>
      <c r="F193" s="151"/>
      <c r="G193" s="152" t="str">
        <f>$B193&amp;G$2</f>
        <v>seporoxar</v>
      </c>
      <c r="H193" s="149" t="s">
        <v>959</v>
      </c>
      <c r="K193" s="152"/>
      <c r="M193" s="150"/>
    </row>
    <row r="194" spans="1:13" s="149" customFormat="1">
      <c r="A194" s="149" t="str">
        <f>IF(OR(MID(B194,1,2)=Radicals!$M$23,MID(B194,1,2)=Radicals!$K$15,MID(B194,1,2)=Radicals!$N$15),"P","")</f>
        <v/>
      </c>
      <c r="B194" s="315"/>
      <c r="F194" s="151"/>
      <c r="G194" s="152"/>
      <c r="H194" s="150"/>
      <c r="K194" s="152"/>
      <c r="M194" s="150"/>
    </row>
    <row r="195" spans="1:13" s="149" customFormat="1" ht="18">
      <c r="A195" s="149" t="str">
        <f>IF(OR(MID(B195,1,2)=Radicals!$M$23,MID(B195,1,2)=Radicals!$K$15,MID(B195,1,2)=Radicals!$N$15),"P","")</f>
        <v/>
      </c>
      <c r="B195" s="316" t="s">
        <v>996</v>
      </c>
      <c r="F195" s="151"/>
      <c r="G195" s="152"/>
      <c r="H195" s="150"/>
      <c r="K195" s="152"/>
      <c r="M195" s="150"/>
    </row>
    <row r="196" spans="1:13" s="149" customFormat="1">
      <c r="A196" s="149" t="str">
        <f>IF(OR(MID(B196,1,2)=Radicals!$M$23,MID(B196,1,2)=Radicals!$K$15,MID(B196,1,2)=Radicals!$N$15),"P","")</f>
        <v/>
      </c>
      <c r="B196" s="314" t="str">
        <f>Value</f>
        <v>bu</v>
      </c>
      <c r="C196" s="152" t="str">
        <f>$B196&amp;C$2</f>
        <v>bun</v>
      </c>
      <c r="D196" s="149" t="s">
        <v>997</v>
      </c>
      <c r="E196" s="152" t="str">
        <f>$B196&amp;E$2</f>
        <v>buf</v>
      </c>
      <c r="F196" s="149" t="s">
        <v>999</v>
      </c>
      <c r="G196" s="152" t="str">
        <f>$B196&amp;G$2</f>
        <v>bur</v>
      </c>
      <c r="H196" s="149" t="s">
        <v>1001</v>
      </c>
      <c r="K196" s="152"/>
      <c r="M196" s="150"/>
    </row>
    <row r="197" spans="1:13" s="149" customFormat="1">
      <c r="A197" s="149" t="str">
        <f>IF(OR(MID(B197,1,2)=Radicals!$M$23,MID(B197,1,2)=Radicals!$K$15,MID(B197,1,2)=Radicals!$N$15),"P","")</f>
        <v/>
      </c>
      <c r="B197" s="314" t="str">
        <f>Quantity&amp;Value</f>
        <v>yubu</v>
      </c>
      <c r="C197" s="152" t="str">
        <f>$B197&amp;C$2</f>
        <v>yubun</v>
      </c>
      <c r="D197" s="149" t="s">
        <v>1000</v>
      </c>
      <c r="E197" s="152"/>
      <c r="G197" s="152" t="str">
        <f>$B197&amp;G$2</f>
        <v>yubur</v>
      </c>
      <c r="H197" s="149" t="s">
        <v>1002</v>
      </c>
      <c r="K197" s="152"/>
      <c r="M197" s="150"/>
    </row>
    <row r="198" spans="1:13" s="149" customFormat="1">
      <c r="B198" s="314" t="str">
        <f>Thing&amp;Value</f>
        <v>nebu</v>
      </c>
      <c r="C198" s="152" t="str">
        <f>$B198&amp;C$2</f>
        <v>nebun</v>
      </c>
      <c r="D198" s="149" t="s">
        <v>1003</v>
      </c>
      <c r="E198" s="152"/>
      <c r="G198" s="152"/>
      <c r="K198" s="152"/>
      <c r="M198" s="150"/>
    </row>
    <row r="199" spans="1:13" s="149" customFormat="1">
      <c r="B199" s="325" t="str">
        <f>Value&amp;Origin&amp;Action</f>
        <v>buture</v>
      </c>
      <c r="C199" s="152" t="str">
        <f>$B199&amp;C$2</f>
        <v>buturen</v>
      </c>
      <c r="D199" s="149" t="s">
        <v>998</v>
      </c>
      <c r="F199" s="151"/>
      <c r="G199" s="152"/>
      <c r="H199" s="150"/>
      <c r="K199" s="152"/>
      <c r="M199" s="150"/>
    </row>
    <row r="200" spans="1:13" s="149" customFormat="1">
      <c r="B200" s="325" t="str">
        <f>Value&amp;Origin&amp;Thing</f>
        <v>butune</v>
      </c>
      <c r="C200" s="152" t="str">
        <f>$B200&amp;C$2</f>
        <v>butunen</v>
      </c>
      <c r="D200" s="149" t="s">
        <v>1044</v>
      </c>
      <c r="F200" s="151"/>
      <c r="G200" s="152"/>
      <c r="H200" s="150"/>
      <c r="K200" s="152"/>
      <c r="M200" s="150"/>
    </row>
    <row r="201" spans="1:13" s="149" customFormat="1">
      <c r="B201" s="315"/>
      <c r="C201" s="152"/>
      <c r="F201" s="151"/>
      <c r="G201" s="152"/>
      <c r="H201" s="150"/>
      <c r="K201" s="152"/>
      <c r="M201" s="150"/>
    </row>
    <row r="202" spans="1:13" s="149" customFormat="1" ht="18">
      <c r="B202" s="316" t="s">
        <v>616</v>
      </c>
      <c r="F202" s="151"/>
      <c r="G202" s="152"/>
      <c r="K202" s="152"/>
      <c r="M202" s="150"/>
    </row>
    <row r="203" spans="1:13" s="149" customFormat="1">
      <c r="B203" s="314" t="str">
        <f>Space</f>
        <v>la</v>
      </c>
      <c r="C203" s="152" t="str">
        <f>$B203&amp;C$2</f>
        <v>lan</v>
      </c>
      <c r="D203" s="149" t="s">
        <v>573</v>
      </c>
      <c r="E203" s="152" t="str">
        <f>$B203&amp;E$2</f>
        <v>laf</v>
      </c>
      <c r="F203" s="269" t="s">
        <v>982</v>
      </c>
      <c r="G203" s="152" t="str">
        <f>$B203&amp;G$2</f>
        <v>lar</v>
      </c>
      <c r="H203" s="149" t="s">
        <v>265</v>
      </c>
      <c r="I203" s="152" t="str">
        <f t="shared" ref="I203:K204" si="6">$B203&amp;I$2</f>
        <v>lav</v>
      </c>
      <c r="J203" s="149" t="s">
        <v>563</v>
      </c>
      <c r="K203" s="152" t="str">
        <f t="shared" si="6"/>
        <v>la</v>
      </c>
      <c r="L203" s="149" t="s">
        <v>747</v>
      </c>
      <c r="M203" s="150"/>
    </row>
    <row r="204" spans="1:13" s="149" customFormat="1">
      <c r="B204" s="314" t="str">
        <f>Time</f>
        <v>le</v>
      </c>
      <c r="C204" s="152" t="str">
        <f>$B204&amp;C$2</f>
        <v>len</v>
      </c>
      <c r="D204" s="149" t="s">
        <v>572</v>
      </c>
      <c r="E204" s="152" t="str">
        <f>$B204&amp;E$2</f>
        <v>lef</v>
      </c>
      <c r="F204" s="269" t="s">
        <v>564</v>
      </c>
      <c r="G204" s="152" t="str">
        <f>$B204&amp;G$2</f>
        <v>ler</v>
      </c>
      <c r="H204" s="149" t="s">
        <v>265</v>
      </c>
      <c r="I204" s="152" t="str">
        <f t="shared" si="6"/>
        <v>lev</v>
      </c>
      <c r="J204" s="149" t="s">
        <v>565</v>
      </c>
      <c r="K204" s="152" t="str">
        <f>B204&amp;JOKER.</f>
        <v>leh</v>
      </c>
      <c r="L204" s="149" t="s">
        <v>979</v>
      </c>
      <c r="M204" s="150" t="s">
        <v>978</v>
      </c>
    </row>
    <row r="205" spans="1:13" s="149" customFormat="1">
      <c r="B205" s="314" t="str">
        <f>Element&amp;Space</f>
        <v>wela</v>
      </c>
      <c r="C205" s="152" t="str">
        <f>$B205&amp;C$2</f>
        <v>welan</v>
      </c>
      <c r="D205" s="149" t="s">
        <v>574</v>
      </c>
      <c r="F205" s="151"/>
      <c r="G205" s="152"/>
      <c r="H205" s="150"/>
      <c r="K205" s="152"/>
      <c r="M205" s="150"/>
    </row>
    <row r="206" spans="1:13" s="149" customFormat="1">
      <c r="B206" s="314" t="str">
        <f>Element&amp;Time</f>
        <v>wele</v>
      </c>
      <c r="C206" s="152" t="str">
        <f>$B206&amp;C$2</f>
        <v>welen</v>
      </c>
      <c r="D206" s="149" t="s">
        <v>241</v>
      </c>
      <c r="F206" s="151"/>
      <c r="G206" s="152"/>
      <c r="H206" s="150"/>
      <c r="K206" s="152"/>
      <c r="M206" s="150"/>
    </row>
    <row r="207" spans="1:13" s="149" customFormat="1">
      <c r="B207" s="314"/>
      <c r="C207" s="152"/>
      <c r="F207" s="151"/>
      <c r="G207" s="152"/>
      <c r="H207" s="150"/>
      <c r="K207" s="152"/>
      <c r="M207" s="150"/>
    </row>
    <row r="208" spans="1:13" s="149" customFormat="1">
      <c r="B208" s="319" t="str">
        <f>Time&amp;Trend</f>
        <v>lese</v>
      </c>
      <c r="C208" s="152" t="str">
        <f>$B208&amp;C$2</f>
        <v>lesen</v>
      </c>
      <c r="D208" s="149" t="s">
        <v>404</v>
      </c>
      <c r="E208" s="152" t="str">
        <f>$B208&amp;E$2</f>
        <v>lesef</v>
      </c>
      <c r="F208" s="149" t="s">
        <v>407</v>
      </c>
      <c r="G208" s="152" t="str">
        <f>$B208&amp;G$2</f>
        <v>leser</v>
      </c>
      <c r="H208" s="149" t="s">
        <v>580</v>
      </c>
      <c r="I208" s="152" t="str">
        <f>$B208&amp;I$2</f>
        <v>lesev</v>
      </c>
      <c r="J208" s="149" t="s">
        <v>578</v>
      </c>
      <c r="M208" s="150"/>
    </row>
    <row r="209" spans="2:13" s="149" customFormat="1">
      <c r="B209" s="314" t="str">
        <f>Time&amp;Past</f>
        <v>lece</v>
      </c>
      <c r="C209" s="152" t="str">
        <f>$B209&amp;C$2</f>
        <v>lecen</v>
      </c>
      <c r="D209" s="149" t="s">
        <v>405</v>
      </c>
      <c r="E209" s="152" t="str">
        <f>$B209&amp;E$2</f>
        <v>lecef</v>
      </c>
      <c r="F209" s="149" t="s">
        <v>408</v>
      </c>
      <c r="G209" s="152" t="str">
        <f>$B209&amp;G$2</f>
        <v>lecer</v>
      </c>
      <c r="H209" s="149" t="s">
        <v>579</v>
      </c>
      <c r="I209" s="152" t="str">
        <f>$B209&amp;I$2</f>
        <v>lecev</v>
      </c>
      <c r="J209" s="149" t="s">
        <v>577</v>
      </c>
      <c r="M209" s="150"/>
    </row>
    <row r="210" spans="2:13" s="149" customFormat="1">
      <c r="B210" s="319" t="str">
        <f>Time&amp;Me</f>
        <v>lena</v>
      </c>
      <c r="C210" s="152" t="str">
        <f>$B210&amp;C$2</f>
        <v>lenan</v>
      </c>
      <c r="D210" s="149" t="s">
        <v>406</v>
      </c>
      <c r="E210" s="152" t="str">
        <f>$B210&amp;E$2</f>
        <v>lenaf</v>
      </c>
      <c r="F210" s="149" t="s">
        <v>267</v>
      </c>
      <c r="G210" s="150"/>
      <c r="I210" s="152" t="str">
        <f>$B210&amp;I$2</f>
        <v>lenav</v>
      </c>
      <c r="J210" s="149" t="s">
        <v>576</v>
      </c>
      <c r="M210" s="150"/>
    </row>
    <row r="211" spans="2:13" s="149" customFormat="1">
      <c r="B211" s="314"/>
      <c r="C211" s="152"/>
      <c r="F211" s="151"/>
      <c r="G211" s="152"/>
      <c r="H211" s="150"/>
      <c r="K211" s="152"/>
      <c r="M211" s="150"/>
    </row>
    <row r="212" spans="2:13" s="149" customFormat="1">
      <c r="B212" s="314" t="str">
        <f>Transcendance</f>
        <v>fi</v>
      </c>
      <c r="C212" s="152" t="str">
        <f t="shared" ref="C212:C222" si="7">$B212&amp;C$2</f>
        <v>fin</v>
      </c>
      <c r="D212" s="149" t="s">
        <v>566</v>
      </c>
      <c r="E212" s="152" t="str">
        <f>$B212&amp;E$2</f>
        <v>fif</v>
      </c>
      <c r="F212" s="151" t="s">
        <v>568</v>
      </c>
      <c r="G212" s="152" t="str">
        <f>$B212&amp;G$2</f>
        <v>fir</v>
      </c>
      <c r="H212" s="149" t="s">
        <v>569</v>
      </c>
      <c r="K212" s="152" t="str">
        <f>$B212&amp;K$2</f>
        <v>fi</v>
      </c>
      <c r="L212" s="149" t="s">
        <v>570</v>
      </c>
      <c r="M212" s="150"/>
    </row>
    <row r="213" spans="2:13" s="149" customFormat="1">
      <c r="B213" s="314" t="str">
        <f>Inversion&amp;Transcendance</f>
        <v>pafi</v>
      </c>
      <c r="C213" s="152" t="str">
        <f t="shared" si="7"/>
        <v>pafin</v>
      </c>
      <c r="D213" s="149" t="s">
        <v>567</v>
      </c>
      <c r="F213" s="151"/>
      <c r="G213" s="152"/>
      <c r="H213" s="150"/>
      <c r="K213" s="152" t="str">
        <f>$B213&amp;K$2</f>
        <v>pafi</v>
      </c>
      <c r="L213" s="149" t="s">
        <v>571</v>
      </c>
      <c r="M213" s="150"/>
    </row>
    <row r="214" spans="2:13" s="149" customFormat="1">
      <c r="B214" s="325" t="str">
        <f>Transcendance&amp;Element&amp;Space</f>
        <v>fiwela</v>
      </c>
      <c r="C214" s="152" t="str">
        <f t="shared" si="7"/>
        <v>fiwelan</v>
      </c>
      <c r="D214" s="149" t="s">
        <v>357</v>
      </c>
      <c r="F214" s="151"/>
      <c r="G214" s="152"/>
      <c r="H214" s="150"/>
      <c r="K214" s="152"/>
      <c r="M214" s="150"/>
    </row>
    <row r="215" spans="2:13" s="149" customFormat="1">
      <c r="B215" s="325" t="str">
        <f>Inversion&amp;Transcendance&amp;Space</f>
        <v>pafila</v>
      </c>
      <c r="C215" s="152" t="str">
        <f t="shared" si="7"/>
        <v>pafilan</v>
      </c>
      <c r="D215" s="149" t="s">
        <v>353</v>
      </c>
      <c r="F215" s="151"/>
      <c r="G215" s="152"/>
      <c r="H215" s="150"/>
      <c r="K215" s="152"/>
      <c r="M215" s="150"/>
    </row>
    <row r="216" spans="2:13" s="149" customFormat="1">
      <c r="B216" s="314" t="str">
        <f>Transcendance&amp;Element&amp;Time</f>
        <v>fiwele</v>
      </c>
      <c r="C216" s="152" t="str">
        <f t="shared" si="7"/>
        <v>fiwelen</v>
      </c>
      <c r="D216" s="149" t="s">
        <v>354</v>
      </c>
      <c r="F216" s="151"/>
      <c r="G216" s="152"/>
      <c r="K216" s="152" t="str">
        <f>B216&amp;JOKER.</f>
        <v>fiweleh</v>
      </c>
      <c r="L216" s="149" t="s">
        <v>456</v>
      </c>
      <c r="M216" s="150"/>
    </row>
    <row r="217" spans="2:13" s="149" customFormat="1">
      <c r="B217" s="319" t="str">
        <f>Quantity&amp;Transcendance&amp;Show&amp;Space</f>
        <v>yufimila</v>
      </c>
      <c r="C217" s="152" t="str">
        <f t="shared" si="7"/>
        <v>yufimilan</v>
      </c>
      <c r="D217" s="149" t="s">
        <v>348</v>
      </c>
      <c r="F217" s="151"/>
      <c r="G217" s="152" t="str">
        <f>$B217&amp;G$2</f>
        <v>yufimilar</v>
      </c>
      <c r="H217" s="149" t="s">
        <v>400</v>
      </c>
      <c r="K217" s="152"/>
      <c r="M217" s="150"/>
    </row>
    <row r="218" spans="2:13" s="149" customFormat="1">
      <c r="B218" s="319" t="str">
        <f>Quantity&amp;Inversion&amp;Transcendance&amp;Space</f>
        <v>yupafila</v>
      </c>
      <c r="C218" s="152" t="str">
        <f t="shared" si="7"/>
        <v>yupafilan</v>
      </c>
      <c r="D218" s="149" t="s">
        <v>349</v>
      </c>
      <c r="F218" s="151"/>
      <c r="G218" s="152"/>
      <c r="K218" s="152"/>
      <c r="M218" s="150"/>
    </row>
    <row r="219" spans="2:13" s="149" customFormat="1">
      <c r="B219" s="314" t="str">
        <f>Quantity&amp;Space</f>
        <v>yula</v>
      </c>
      <c r="C219" s="152" t="str">
        <f t="shared" si="7"/>
        <v>yulan</v>
      </c>
      <c r="D219" s="149" t="s">
        <v>350</v>
      </c>
      <c r="F219" s="151"/>
      <c r="G219" s="152" t="str">
        <f>$B219&amp;G$2</f>
        <v>yular</v>
      </c>
      <c r="H219" s="149" t="s">
        <v>400</v>
      </c>
      <c r="K219" s="152"/>
      <c r="M219" s="150"/>
    </row>
    <row r="220" spans="2:13" s="149" customFormat="1">
      <c r="B220" s="314" t="str">
        <f>Quantity&amp;Time</f>
        <v>yule</v>
      </c>
      <c r="C220" s="152" t="str">
        <f t="shared" si="7"/>
        <v>yulen</v>
      </c>
      <c r="D220" s="149" t="s">
        <v>351</v>
      </c>
      <c r="F220" s="151"/>
      <c r="G220" s="152" t="str">
        <f>$B220&amp;G$2</f>
        <v>yuler</v>
      </c>
      <c r="H220" s="149" t="s">
        <v>450</v>
      </c>
      <c r="K220" s="152" t="str">
        <f>B220&amp;JOKER.</f>
        <v>yuleh</v>
      </c>
      <c r="L220" s="149" t="s">
        <v>891</v>
      </c>
      <c r="M220" s="150"/>
    </row>
    <row r="221" spans="2:13" s="149" customFormat="1">
      <c r="B221" s="319" t="str">
        <f>Time&amp;Action</f>
        <v>lere</v>
      </c>
      <c r="C221" s="152" t="str">
        <f t="shared" si="7"/>
        <v>leren</v>
      </c>
      <c r="D221" s="149" t="s">
        <v>352</v>
      </c>
      <c r="F221" s="151"/>
      <c r="G221" s="152" t="str">
        <f>$B221&amp;G$2</f>
        <v>lerer</v>
      </c>
      <c r="H221" s="149" t="s">
        <v>401</v>
      </c>
      <c r="K221" s="152"/>
      <c r="M221" s="150"/>
    </row>
    <row r="222" spans="2:13" s="149" customFormat="1">
      <c r="B222" s="314" t="str">
        <f>More&amp;Time&amp;Action</f>
        <v>yolere</v>
      </c>
      <c r="C222" s="152" t="str">
        <f t="shared" si="7"/>
        <v>yoleren</v>
      </c>
      <c r="D222" s="149" t="s">
        <v>243</v>
      </c>
      <c r="E222" s="152" t="str">
        <f>$B222&amp;E$2</f>
        <v>yoleref</v>
      </c>
      <c r="F222" s="151" t="s">
        <v>562</v>
      </c>
      <c r="G222" s="152" t="str">
        <f>$B222&amp;G$2</f>
        <v>yolerer</v>
      </c>
      <c r="H222" s="149" t="s">
        <v>402</v>
      </c>
      <c r="I222" s="152" t="str">
        <f>$B222&amp;I$2</f>
        <v>yolerev</v>
      </c>
      <c r="J222" s="149" t="s">
        <v>242</v>
      </c>
      <c r="K222" s="152"/>
      <c r="M222" s="150"/>
    </row>
    <row r="223" spans="2:13" s="149" customFormat="1">
      <c r="B223" s="315"/>
      <c r="C223" s="152"/>
      <c r="E223" s="152"/>
      <c r="F223" s="151"/>
      <c r="G223" s="152"/>
      <c r="I223" s="152"/>
      <c r="K223" s="152"/>
      <c r="M223" s="150"/>
    </row>
    <row r="224" spans="2:13" s="149" customFormat="1" ht="18">
      <c r="B224" s="316" t="s">
        <v>364</v>
      </c>
      <c r="F224" s="151"/>
      <c r="G224" s="152"/>
      <c r="M224" s="150"/>
    </row>
    <row r="225" spans="2:13" s="149" customFormat="1">
      <c r="B225" s="314" t="str">
        <f>Existence</f>
        <v>di</v>
      </c>
      <c r="C225" s="152" t="str">
        <f t="shared" ref="C225:C232" si="8">$B225&amp;C$2</f>
        <v>din</v>
      </c>
      <c r="D225" s="149" t="s">
        <v>334</v>
      </c>
      <c r="G225" s="152" t="str">
        <f>$B225&amp;G$2</f>
        <v>dir</v>
      </c>
      <c r="H225" s="149" t="s">
        <v>214</v>
      </c>
      <c r="M225" s="150" t="s">
        <v>1113</v>
      </c>
    </row>
    <row r="226" spans="2:13" s="149" customFormat="1">
      <c r="B226" s="314" t="str">
        <f>Negation&amp;Existence</f>
        <v>podi</v>
      </c>
      <c r="C226" s="152" t="str">
        <f t="shared" si="8"/>
        <v>podin</v>
      </c>
      <c r="D226" s="149" t="s">
        <v>335</v>
      </c>
      <c r="G226" s="152" t="str">
        <f>$B226&amp;G$2</f>
        <v>podir</v>
      </c>
      <c r="H226" s="149" t="s">
        <v>336</v>
      </c>
      <c r="M226" s="150"/>
    </row>
    <row r="227" spans="2:13" s="149" customFormat="1">
      <c r="B227" s="314" t="str">
        <f>Existence&amp;Show&amp;Space</f>
        <v>dimila</v>
      </c>
      <c r="C227" s="152" t="str">
        <f t="shared" si="8"/>
        <v>dimilan</v>
      </c>
      <c r="D227" s="149" t="s">
        <v>583</v>
      </c>
      <c r="E227" s="152" t="str">
        <f>$B227&amp;E$2</f>
        <v>dimilaf</v>
      </c>
      <c r="F227" s="149" t="s">
        <v>267</v>
      </c>
      <c r="G227" s="152" t="str">
        <f>$B227&amp;G$2</f>
        <v>dimilar</v>
      </c>
      <c r="H227" s="149" t="s">
        <v>265</v>
      </c>
      <c r="M227" s="150"/>
    </row>
    <row r="228" spans="2:13" s="149" customFormat="1">
      <c r="B228" s="314" t="str">
        <f>Negation&amp;Existence&amp;Show&amp;Space</f>
        <v>podimila</v>
      </c>
      <c r="C228" s="152" t="str">
        <f t="shared" si="8"/>
        <v>podimilan</v>
      </c>
      <c r="D228" s="149" t="s">
        <v>268</v>
      </c>
      <c r="E228" s="152" t="str">
        <f>$B228&amp;E$2</f>
        <v>podimilaf</v>
      </c>
      <c r="F228" s="149" t="s">
        <v>269</v>
      </c>
      <c r="G228" s="152"/>
      <c r="M228" s="150"/>
    </row>
    <row r="229" spans="2:13" s="149" customFormat="1">
      <c r="B229" s="314" t="str">
        <f>Action&amp;Existence&amp;Show&amp;Space</f>
        <v>redimila</v>
      </c>
      <c r="C229" s="152" t="str">
        <f t="shared" si="8"/>
        <v>redimilan</v>
      </c>
      <c r="D229" s="149" t="s">
        <v>403</v>
      </c>
      <c r="G229" s="150"/>
      <c r="H229" s="150"/>
      <c r="M229" s="150"/>
    </row>
    <row r="230" spans="2:13" s="149" customFormat="1">
      <c r="B230" s="314" t="str">
        <f>Quality&amp;Existence&amp;Show&amp;Space</f>
        <v>fudimila</v>
      </c>
      <c r="C230" s="152" t="str">
        <f t="shared" si="8"/>
        <v>fudimilan</v>
      </c>
      <c r="D230" s="149" t="s">
        <v>266</v>
      </c>
      <c r="G230" s="150"/>
      <c r="H230" s="150"/>
      <c r="M230" s="150"/>
    </row>
    <row r="231" spans="2:13" s="149" customFormat="1">
      <c r="B231" s="314" t="str">
        <f>Existence&amp;Whole&amp;Space</f>
        <v>diwila</v>
      </c>
      <c r="C231" s="152" t="str">
        <f t="shared" si="8"/>
        <v>diwilan</v>
      </c>
      <c r="D231" s="149" t="s">
        <v>970</v>
      </c>
      <c r="E231" s="152" t="str">
        <f>$B231&amp;E$2</f>
        <v>diwilaf</v>
      </c>
      <c r="F231" s="149" t="s">
        <v>270</v>
      </c>
      <c r="G231" s="152" t="str">
        <f>$B231&amp;G$2</f>
        <v>diwilar</v>
      </c>
      <c r="H231" s="149" t="s">
        <v>584</v>
      </c>
      <c r="M231" s="150"/>
    </row>
    <row r="232" spans="2:13" s="149" customFormat="1">
      <c r="B232" s="314" t="str">
        <f>Quality&amp;Existence&amp;Whole&amp;Space</f>
        <v>fudiwila</v>
      </c>
      <c r="C232" s="152" t="str">
        <f t="shared" si="8"/>
        <v>fudiwilan</v>
      </c>
      <c r="D232" s="149" t="s">
        <v>971</v>
      </c>
      <c r="E232" s="152"/>
      <c r="G232" s="152"/>
      <c r="M232" s="150"/>
    </row>
    <row r="233" spans="2:13" s="149" customFormat="1">
      <c r="B233" s="315"/>
      <c r="C233" s="152"/>
      <c r="E233" s="152"/>
      <c r="G233" s="152"/>
      <c r="M233" s="150"/>
    </row>
    <row r="234" spans="2:13" s="149" customFormat="1" ht="18">
      <c r="B234" s="316" t="s">
        <v>615</v>
      </c>
      <c r="C234" s="152"/>
      <c r="E234" s="152"/>
      <c r="G234" s="152"/>
      <c r="M234" s="150"/>
    </row>
    <row r="235" spans="2:13" s="149" customFormat="1">
      <c r="B235" s="152" t="str">
        <f>Light</f>
        <v>bi</v>
      </c>
      <c r="C235" s="152" t="str">
        <f t="shared" ref="C235:C243" si="9">$B235&amp;C$2</f>
        <v>bin</v>
      </c>
      <c r="D235" s="149" t="s">
        <v>605</v>
      </c>
      <c r="E235" s="152" t="str">
        <f>$B235&amp;E$2</f>
        <v>bif</v>
      </c>
      <c r="F235" s="149" t="s">
        <v>607</v>
      </c>
      <c r="G235" s="152" t="str">
        <f>$B235&amp;G$2</f>
        <v>bir</v>
      </c>
      <c r="H235" s="149" t="s">
        <v>701</v>
      </c>
      <c r="I235" s="152" t="str">
        <f t="shared" ref="I235:I242" si="10">$B235&amp;I$2</f>
        <v>biv</v>
      </c>
      <c r="J235" s="149" t="s">
        <v>617</v>
      </c>
      <c r="M235" s="150"/>
    </row>
    <row r="236" spans="2:13" s="149" customFormat="1">
      <c r="B236" s="152" t="str">
        <f>Inversion&amp;Light</f>
        <v>pabi</v>
      </c>
      <c r="C236" s="152" t="str">
        <f t="shared" si="9"/>
        <v>pabin</v>
      </c>
      <c r="D236" s="149" t="s">
        <v>609</v>
      </c>
      <c r="E236" s="152" t="str">
        <f>$B236&amp;E$2</f>
        <v>pabif</v>
      </c>
      <c r="F236" s="149" t="s">
        <v>610</v>
      </c>
      <c r="G236" s="152" t="str">
        <f>$B236&amp;G$2</f>
        <v>pabir</v>
      </c>
      <c r="H236" s="150"/>
      <c r="I236" s="152" t="str">
        <f t="shared" si="10"/>
        <v>pabiv</v>
      </c>
      <c r="J236" s="149" t="s">
        <v>618</v>
      </c>
      <c r="M236" s="150"/>
    </row>
    <row r="237" spans="2:13" s="149" customFormat="1">
      <c r="B237" s="155" t="str">
        <f>Time&amp;Light</f>
        <v>lebi</v>
      </c>
      <c r="C237" s="152" t="str">
        <f t="shared" si="9"/>
        <v>lebin</v>
      </c>
      <c r="D237" s="149" t="s">
        <v>606</v>
      </c>
      <c r="G237" s="152" t="str">
        <f>$B237&amp;G$2</f>
        <v>lebir</v>
      </c>
      <c r="H237" s="149" t="s">
        <v>619</v>
      </c>
      <c r="I237" s="152" t="str">
        <f t="shared" si="10"/>
        <v>lebiv</v>
      </c>
      <c r="J237" s="149" t="s">
        <v>621</v>
      </c>
      <c r="M237" s="150"/>
    </row>
    <row r="238" spans="2:13" s="149" customFormat="1">
      <c r="B238" s="152" t="str">
        <f>Time&amp;Inversion&amp;Light</f>
        <v>lepabi</v>
      </c>
      <c r="C238" s="152" t="str">
        <f t="shared" si="9"/>
        <v>lepabin</v>
      </c>
      <c r="D238" s="149" t="s">
        <v>608</v>
      </c>
      <c r="E238" s="152"/>
      <c r="G238" s="152" t="str">
        <f>$B238&amp;G$2</f>
        <v>lepabir</v>
      </c>
      <c r="H238" s="149" t="s">
        <v>620</v>
      </c>
      <c r="I238" s="152" t="str">
        <f t="shared" si="10"/>
        <v>lepabiv</v>
      </c>
      <c r="J238" s="149" t="s">
        <v>622</v>
      </c>
      <c r="M238" s="150"/>
    </row>
    <row r="239" spans="2:13" s="149" customFormat="1">
      <c r="B239" s="152" t="str">
        <f>Time&amp;Light&amp;Me</f>
        <v>lebina</v>
      </c>
      <c r="C239" s="152" t="str">
        <f t="shared" si="9"/>
        <v>lebinan</v>
      </c>
      <c r="D239" s="149" t="s">
        <v>611</v>
      </c>
      <c r="E239" s="152"/>
      <c r="G239" s="152"/>
      <c r="I239" s="152" t="str">
        <f t="shared" si="10"/>
        <v>lebinav</v>
      </c>
      <c r="J239" s="149" t="s">
        <v>611</v>
      </c>
      <c r="M239" s="150"/>
    </row>
    <row r="240" spans="2:13" s="149" customFormat="1">
      <c r="B240" s="152" t="str">
        <f>Time&amp;Inversion&amp;Light&amp;Me</f>
        <v>lepabina</v>
      </c>
      <c r="C240" s="152" t="str">
        <f t="shared" si="9"/>
        <v>lepabinan</v>
      </c>
      <c r="D240" s="149" t="s">
        <v>612</v>
      </c>
      <c r="E240" s="152"/>
      <c r="G240" s="152"/>
      <c r="I240" s="152" t="str">
        <f t="shared" si="10"/>
        <v>lepabinav</v>
      </c>
      <c r="J240" s="149" t="s">
        <v>612</v>
      </c>
      <c r="M240" s="150"/>
    </row>
    <row r="241" spans="2:13" s="149" customFormat="1">
      <c r="B241" s="152" t="str">
        <f>Time&amp;Light&amp;Past</f>
        <v>lebice</v>
      </c>
      <c r="C241" s="152" t="str">
        <f t="shared" si="9"/>
        <v>lebicen</v>
      </c>
      <c r="D241" s="149" t="s">
        <v>613</v>
      </c>
      <c r="E241" s="152"/>
      <c r="G241" s="152"/>
      <c r="I241" s="152" t="str">
        <f t="shared" si="10"/>
        <v>lebicev</v>
      </c>
      <c r="J241" s="149" t="s">
        <v>613</v>
      </c>
      <c r="M241" s="150"/>
    </row>
    <row r="242" spans="2:13" s="149" customFormat="1">
      <c r="B242" s="155" t="str">
        <f>Time&amp;Light&amp;Trend</f>
        <v>lebise</v>
      </c>
      <c r="C242" s="152" t="str">
        <f t="shared" si="9"/>
        <v>lebisen</v>
      </c>
      <c r="D242" s="149" t="s">
        <v>614</v>
      </c>
      <c r="E242" s="152"/>
      <c r="G242" s="152"/>
      <c r="I242" s="152" t="str">
        <f t="shared" si="10"/>
        <v>lebisev</v>
      </c>
      <c r="J242" s="149" t="s">
        <v>614</v>
      </c>
      <c r="M242" s="150"/>
    </row>
    <row r="243" spans="2:13" s="149" customFormat="1">
      <c r="B243" s="152" t="str">
        <f>Time&amp;Light&amp;Origin&amp;Life</f>
        <v>lebituzo</v>
      </c>
      <c r="C243" s="152" t="str">
        <f t="shared" si="9"/>
        <v>lebituzon</v>
      </c>
      <c r="D243" s="149" t="s">
        <v>623</v>
      </c>
      <c r="H243" s="150"/>
      <c r="M243" s="150"/>
    </row>
    <row r="244" spans="2:13" s="149" customFormat="1">
      <c r="B244" s="315"/>
      <c r="C244" s="152"/>
      <c r="H244" s="150"/>
      <c r="M244" s="150"/>
    </row>
    <row r="245" spans="2:13" s="149" customFormat="1">
      <c r="B245" s="315"/>
      <c r="C245" s="152"/>
      <c r="H245" s="150"/>
      <c r="M245" s="150"/>
    </row>
    <row r="246" spans="2:13" s="149" customFormat="1" ht="18">
      <c r="B246" s="316" t="s">
        <v>559</v>
      </c>
      <c r="C246" s="152"/>
      <c r="F246" s="151"/>
      <c r="G246" s="152"/>
      <c r="K246" s="152"/>
      <c r="M246" s="150"/>
    </row>
    <row r="247" spans="2:13" s="149" customFormat="1">
      <c r="B247" s="315"/>
      <c r="C247" s="152" t="str">
        <f>Self&amp;Trend.&amp;Space&amp;Thing.</f>
        <v>waslan</v>
      </c>
      <c r="D247" s="149" t="s">
        <v>213</v>
      </c>
      <c r="F247" s="151"/>
      <c r="G247" s="155" t="str">
        <f>Self&amp;Trend.&amp;Space&amp;Action.</f>
        <v>waslar</v>
      </c>
      <c r="H247" s="149" t="s">
        <v>211</v>
      </c>
      <c r="M247" s="150"/>
    </row>
    <row r="248" spans="2:13" s="149" customFormat="1">
      <c r="B248" s="315"/>
      <c r="C248" s="152" t="str">
        <f>Trend.&amp;Space&amp;Me&amp;Thing.</f>
        <v>slanan</v>
      </c>
      <c r="D248" s="149" t="s">
        <v>810</v>
      </c>
      <c r="F248" s="151"/>
      <c r="G248" s="155" t="str">
        <f>Trend.&amp;Space&amp;Me&amp;Action.</f>
        <v>slanar</v>
      </c>
      <c r="H248" s="149" t="s">
        <v>212</v>
      </c>
      <c r="M248" s="150"/>
    </row>
    <row r="249" spans="2:13" s="149" customFormat="1">
      <c r="B249" s="315"/>
      <c r="C249" s="152" t="str">
        <f>Inversion&amp;Trend.&amp;Space&amp;Thing.</f>
        <v>paslan</v>
      </c>
      <c r="D249" s="149" t="s">
        <v>501</v>
      </c>
      <c r="F249" s="151"/>
      <c r="G249" s="152" t="str">
        <f>Inversion&amp;Trend.&amp;Space&amp;Action.</f>
        <v>paslar</v>
      </c>
      <c r="H249" s="149" t="s">
        <v>333</v>
      </c>
      <c r="M249" s="150"/>
    </row>
    <row r="250" spans="2:13" s="149" customFormat="1">
      <c r="B250" s="315"/>
      <c r="C250" s="152" t="str">
        <f>Inversion&amp;Trend.&amp;Space&amp;Me&amp;Thing.</f>
        <v>paslanan</v>
      </c>
      <c r="D250" s="149" t="s">
        <v>809</v>
      </c>
      <c r="F250" s="151"/>
      <c r="G250" s="152" t="str">
        <f>Inversion&amp;Trend.&amp;Space&amp;Me&amp;Action.</f>
        <v>paslanar</v>
      </c>
      <c r="H250" s="149" t="s">
        <v>210</v>
      </c>
      <c r="M250" s="150"/>
    </row>
    <row r="251" spans="2:13" s="149" customFormat="1">
      <c r="B251" s="315"/>
      <c r="C251" s="152" t="str">
        <f>Inversion&amp;Origin&amp;Space&amp;Trend&amp;Thing.</f>
        <v>patulasen</v>
      </c>
      <c r="D251" s="149" t="s">
        <v>575</v>
      </c>
      <c r="F251" s="151"/>
      <c r="G251" s="152"/>
      <c r="M251" s="150"/>
    </row>
    <row r="252" spans="2:13" s="149" customFormat="1" ht="13.5" customHeight="1">
      <c r="B252" s="316"/>
      <c r="C252" s="155" t="str">
        <f>Space&amp;Trend&amp;Thing.</f>
        <v>lasen</v>
      </c>
      <c r="D252" s="149" t="s">
        <v>554</v>
      </c>
      <c r="E252" s="152" t="e">
        <f>Space&amp;Trend&amp;Quality.</f>
        <v>#NAME?</v>
      </c>
      <c r="F252" s="151" t="s">
        <v>582</v>
      </c>
      <c r="K252" s="152" t="str">
        <f>Space&amp;Trend</f>
        <v>lase</v>
      </c>
      <c r="L252" s="149" t="s">
        <v>811</v>
      </c>
      <c r="M252" s="150"/>
    </row>
    <row r="253" spans="2:13" s="149" customFormat="1" ht="13.5" customHeight="1">
      <c r="B253" s="315" t="s">
        <v>296</v>
      </c>
      <c r="C253" s="155" t="str">
        <f>Author&amp;Space&amp;Trend&amp;Thing.</f>
        <v>ralasen</v>
      </c>
      <c r="D253" s="149" t="s">
        <v>581</v>
      </c>
      <c r="E253" s="152" t="e">
        <f>Author&amp;Space&amp;Trend&amp;Quality.</f>
        <v>#NAME?</v>
      </c>
      <c r="F253" s="151" t="s">
        <v>689</v>
      </c>
      <c r="G253" s="152" t="str">
        <f>Author&amp;Space&amp;Trend&amp;Action.</f>
        <v>ralaser</v>
      </c>
      <c r="H253" s="149" t="s">
        <v>558</v>
      </c>
      <c r="K253" s="152"/>
      <c r="M253" s="150"/>
    </row>
    <row r="254" spans="2:13" s="149" customFormat="1">
      <c r="B254" s="315"/>
      <c r="C254" s="152"/>
      <c r="E254" s="152"/>
      <c r="G254" s="150"/>
      <c r="I254" s="152"/>
      <c r="M254" s="150"/>
    </row>
    <row r="255" spans="2:13" s="149" customFormat="1" ht="18">
      <c r="B255" s="316" t="s">
        <v>801</v>
      </c>
      <c r="C255" s="152"/>
      <c r="F255" s="151"/>
      <c r="G255" s="152"/>
      <c r="K255" s="152"/>
      <c r="M255" s="150"/>
    </row>
    <row r="256" spans="2:13" s="149" customFormat="1">
      <c r="B256" s="315"/>
      <c r="C256" s="152" t="str">
        <f>Cross&amp;Thing.</f>
        <v>sun</v>
      </c>
      <c r="D256" s="149" t="s">
        <v>819</v>
      </c>
      <c r="F256" s="151"/>
      <c r="G256" s="152" t="str">
        <f>Cross&amp;Action.</f>
        <v>sur</v>
      </c>
      <c r="H256" s="149" t="s">
        <v>805</v>
      </c>
      <c r="K256" s="152" t="str">
        <f>Cross</f>
        <v>su</v>
      </c>
      <c r="L256" s="149" t="s">
        <v>818</v>
      </c>
      <c r="M256" s="150"/>
    </row>
    <row r="257" spans="2:13" s="149" customFormat="1">
      <c r="B257" s="315"/>
      <c r="C257" s="152" t="str">
        <f>Space&amp;Cross&amp;Thing.</f>
        <v>lasun</v>
      </c>
      <c r="D257" s="149" t="s">
        <v>802</v>
      </c>
      <c r="F257" s="151"/>
      <c r="G257" s="152" t="str">
        <f>Space&amp;Cross&amp;Action.</f>
        <v>lasur</v>
      </c>
      <c r="H257" s="149" t="s">
        <v>806</v>
      </c>
      <c r="M257" s="150"/>
    </row>
    <row r="258" spans="2:13" s="149" customFormat="1">
      <c r="B258" s="315"/>
      <c r="C258" s="155" t="str">
        <f>Space&amp;Cross&amp;Liquid&amp;Thing.</f>
        <v>lasuzan</v>
      </c>
      <c r="D258" s="149" t="s">
        <v>972</v>
      </c>
      <c r="F258" s="151"/>
      <c r="G258" s="152"/>
      <c r="M258" s="150"/>
    </row>
    <row r="259" spans="2:13" s="149" customFormat="1">
      <c r="B259" s="315"/>
      <c r="C259" s="155" t="str">
        <f>Space&amp;Cross&amp;Gas&amp;Thing.</f>
        <v>lasuvan</v>
      </c>
      <c r="D259" s="149" t="s">
        <v>973</v>
      </c>
      <c r="F259" s="151"/>
      <c r="G259" s="152"/>
      <c r="M259" s="150"/>
    </row>
    <row r="260" spans="2:13" s="149" customFormat="1">
      <c r="B260" s="315"/>
      <c r="C260" s="155" t="str">
        <f>Time&amp;Cross&amp;Thing.</f>
        <v>lesun</v>
      </c>
      <c r="D260" s="149" t="s">
        <v>820</v>
      </c>
      <c r="F260" s="151"/>
      <c r="G260" s="152"/>
      <c r="M260" s="150"/>
    </row>
    <row r="261" spans="2:13" s="149" customFormat="1">
      <c r="B261" s="315"/>
      <c r="F261" s="151"/>
      <c r="G261" s="152" t="str">
        <f>Cross&amp;Inversion&amp;Contribution&amp;Action.</f>
        <v>supasir</v>
      </c>
      <c r="H261" s="149" t="s">
        <v>803</v>
      </c>
      <c r="K261" s="152" t="str">
        <f>Cross&amp;Inversion&amp;Contribution</f>
        <v>supasi</v>
      </c>
      <c r="L261" s="149" t="s">
        <v>807</v>
      </c>
      <c r="M261" s="150"/>
    </row>
    <row r="262" spans="2:13" s="149" customFormat="1">
      <c r="B262" s="315"/>
      <c r="C262" s="155" t="str">
        <f>Cross&amp;Time&amp;Thing.</f>
        <v>sulen</v>
      </c>
      <c r="D262" s="149" t="s">
        <v>557</v>
      </c>
      <c r="E262" s="152" t="e">
        <f>Cross&amp;Time&amp;Quality.</f>
        <v>#NAME?</v>
      </c>
      <c r="F262" s="149" t="s">
        <v>808</v>
      </c>
      <c r="G262" s="152" t="str">
        <f>Cross&amp;Time&amp;Action.</f>
        <v>suler</v>
      </c>
      <c r="H262" s="149" t="s">
        <v>804</v>
      </c>
      <c r="M262" s="150"/>
    </row>
    <row r="263" spans="2:13" s="149" customFormat="1">
      <c r="B263" s="315"/>
      <c r="C263" s="152"/>
      <c r="F263" s="151"/>
      <c r="G263" s="152"/>
      <c r="M263" s="150"/>
    </row>
    <row r="264" spans="2:13" s="149" customFormat="1" ht="13.5" customHeight="1">
      <c r="B264" s="316"/>
      <c r="C264" s="152"/>
      <c r="E264" s="152"/>
      <c r="F264" s="151"/>
      <c r="K264" s="152"/>
      <c r="M264" s="150"/>
    </row>
    <row r="265" spans="2:13" s="149" customFormat="1" ht="13.5" customHeight="1">
      <c r="B265" s="315"/>
      <c r="C265" s="152"/>
      <c r="E265" s="152"/>
      <c r="F265" s="151"/>
      <c r="G265" s="152"/>
      <c r="K265" s="152"/>
      <c r="M265" s="150"/>
    </row>
    <row r="266" spans="2:13" s="149" customFormat="1">
      <c r="B266" s="315"/>
      <c r="C266" s="152"/>
      <c r="E266" s="152"/>
      <c r="G266" s="150"/>
      <c r="I266" s="152"/>
      <c r="M266" s="150"/>
    </row>
    <row r="267" spans="2:13" s="149" customFormat="1" ht="18">
      <c r="B267" s="316" t="s">
        <v>437</v>
      </c>
      <c r="C267" s="152"/>
      <c r="E267" s="152"/>
      <c r="G267" s="150"/>
      <c r="M267" s="150"/>
    </row>
    <row r="268" spans="2:13" s="149" customFormat="1">
      <c r="B268" s="315"/>
      <c r="C268" s="152" t="str">
        <f>Origin&amp;Thing.</f>
        <v>tun</v>
      </c>
      <c r="D268" s="149" t="s">
        <v>419</v>
      </c>
      <c r="E268" s="152" t="e">
        <f>Origin&amp;Quality.</f>
        <v>#NAME?</v>
      </c>
      <c r="F268" s="149" t="s">
        <v>420</v>
      </c>
      <c r="G268" s="152" t="str">
        <f>Origin&amp;Action.</f>
        <v>tur</v>
      </c>
      <c r="H268" s="149" t="s">
        <v>421</v>
      </c>
      <c r="I268" s="152" t="str">
        <f>Origin&amp;Manner.</f>
        <v>tuv</v>
      </c>
      <c r="J268" s="149" t="s">
        <v>422</v>
      </c>
      <c r="K268" s="152" t="str">
        <f>Origin</f>
        <v>tu</v>
      </c>
      <c r="L268" s="149" t="s">
        <v>216</v>
      </c>
      <c r="M268" s="150"/>
    </row>
    <row r="269" spans="2:13" s="149" customFormat="1" ht="11.25" customHeight="1">
      <c r="B269" s="315"/>
      <c r="C269" s="152" t="str">
        <f>Space&amp;Origin&amp;Thing.</f>
        <v>latun</v>
      </c>
      <c r="D269" s="149" t="s">
        <v>432</v>
      </c>
      <c r="F269" s="151"/>
      <c r="G269" s="152" t="str">
        <f>Space&amp;Origin&amp;Action.</f>
        <v>latur</v>
      </c>
      <c r="H269" s="149" t="s">
        <v>414</v>
      </c>
      <c r="K269" s="152" t="str">
        <f>Space&amp;Origin</f>
        <v>latu</v>
      </c>
      <c r="L269" s="149" t="s">
        <v>216</v>
      </c>
      <c r="M269" s="150"/>
    </row>
    <row r="270" spans="2:13" s="149" customFormat="1">
      <c r="B270" s="315"/>
      <c r="C270" s="152" t="str">
        <f>Time&amp;Origin&amp;Thing.</f>
        <v>letun</v>
      </c>
      <c r="D270" s="149" t="s">
        <v>409</v>
      </c>
      <c r="E270" s="152" t="e">
        <f>Time&amp;Origin&amp;Quality.</f>
        <v>#NAME?</v>
      </c>
      <c r="F270" s="151" t="s">
        <v>435</v>
      </c>
      <c r="G270" s="152" t="str">
        <f>Time&amp;Origin&amp;Action.</f>
        <v>letur</v>
      </c>
      <c r="H270" s="149" t="s">
        <v>560</v>
      </c>
      <c r="I270" s="152" t="str">
        <f>Time&amp;Origin&amp;Manner.</f>
        <v>letuv</v>
      </c>
      <c r="J270" s="149" t="s">
        <v>431</v>
      </c>
      <c r="K270" s="152" t="str">
        <f>Time&amp;Origin</f>
        <v>letu</v>
      </c>
      <c r="L270" s="149" t="s">
        <v>216</v>
      </c>
      <c r="M270" s="150"/>
    </row>
    <row r="271" spans="2:13" s="149" customFormat="1">
      <c r="B271" s="315"/>
      <c r="C271" s="152" t="str">
        <f>Inversion&amp;Origin&amp;Thing.</f>
        <v>patun</v>
      </c>
      <c r="D271" s="149" t="s">
        <v>423</v>
      </c>
      <c r="E271" s="152" t="e">
        <f>Inversion&amp;Origin&amp;Quality.</f>
        <v>#NAME?</v>
      </c>
      <c r="F271" s="149" t="s">
        <v>424</v>
      </c>
      <c r="G271" s="152" t="str">
        <f>Inversion&amp;Origin&amp;Action.</f>
        <v>patur</v>
      </c>
      <c r="H271" s="149" t="s">
        <v>425</v>
      </c>
      <c r="I271" s="152" t="str">
        <f>Inversion&amp;Origin&amp;Manner.</f>
        <v>patuv</v>
      </c>
      <c r="J271" s="149" t="s">
        <v>426</v>
      </c>
      <c r="K271" s="152" t="str">
        <f>Inversion&amp;Origin</f>
        <v>patu</v>
      </c>
      <c r="L271" s="149" t="s">
        <v>427</v>
      </c>
      <c r="M271" s="150"/>
    </row>
    <row r="272" spans="2:13" s="149" customFormat="1" ht="11.25" customHeight="1">
      <c r="B272" s="315"/>
      <c r="C272" s="152" t="str">
        <f>Space&amp;Inversion&amp;Origin&amp;Thing.</f>
        <v>lapatun</v>
      </c>
      <c r="D272" s="149" t="s">
        <v>430</v>
      </c>
      <c r="E272" s="152" t="e">
        <f>Space&amp;Inversion&amp;Origin&amp;Quality.</f>
        <v>#NAME?</v>
      </c>
      <c r="F272" s="151" t="s">
        <v>433</v>
      </c>
      <c r="G272" s="152" t="str">
        <f>Space&amp;Inversion&amp;Origin&amp;Action.</f>
        <v>lapatur</v>
      </c>
      <c r="H272" s="149" t="s">
        <v>425</v>
      </c>
      <c r="K272" s="152" t="str">
        <f>Space&amp;Inversion&amp;Origin</f>
        <v>lapatu</v>
      </c>
      <c r="L272" s="149" t="s">
        <v>427</v>
      </c>
      <c r="M272" s="150"/>
    </row>
    <row r="273" spans="2:13" s="149" customFormat="1">
      <c r="B273" s="315"/>
      <c r="C273" s="152" t="str">
        <f>Time&amp;Inversion&amp;Origin&amp;Thing.</f>
        <v>lepatun</v>
      </c>
      <c r="D273" s="149" t="s">
        <v>429</v>
      </c>
      <c r="E273" s="152" t="e">
        <f>Time&amp;Inversion&amp;Origin&amp;Quality.</f>
        <v>#NAME?</v>
      </c>
      <c r="F273" s="151" t="s">
        <v>434</v>
      </c>
      <c r="G273" s="152" t="str">
        <f>Time&amp;Inversion&amp;Origin&amp;Action.</f>
        <v>lepatur</v>
      </c>
      <c r="H273" s="149" t="s">
        <v>428</v>
      </c>
      <c r="I273" s="152" t="str">
        <f>Time&amp;Inversion&amp;Origin&amp;Manner.</f>
        <v>lepatuv</v>
      </c>
      <c r="J273" s="149" t="s">
        <v>561</v>
      </c>
      <c r="K273" s="152" t="str">
        <f>Time&amp;Inversion&amp;Origin</f>
        <v>lepatu</v>
      </c>
      <c r="L273" s="149" t="s">
        <v>427</v>
      </c>
      <c r="M273" s="150"/>
    </row>
    <row r="274" spans="2:13" s="149" customFormat="1">
      <c r="B274" s="315"/>
      <c r="F274" s="151"/>
      <c r="G274" s="150"/>
      <c r="M274" s="150"/>
    </row>
    <row r="275" spans="2:13" s="149" customFormat="1">
      <c r="B275" s="315"/>
      <c r="C275" s="155" t="str">
        <f>Origin&amp;Action&amp;Thing.</f>
        <v>turen</v>
      </c>
      <c r="D275" s="149" t="s">
        <v>774</v>
      </c>
      <c r="F275" s="151"/>
      <c r="M275" s="150"/>
    </row>
    <row r="276" spans="2:13" s="149" customFormat="1">
      <c r="B276" s="315"/>
      <c r="C276" s="193" t="str">
        <f>Inversion&amp;Origin&amp;Action&amp;Thing.</f>
        <v>paturen</v>
      </c>
      <c r="D276" s="149" t="s">
        <v>776</v>
      </c>
      <c r="F276" s="151"/>
      <c r="G276" s="152" t="str">
        <f>Inversion&amp;Origin&amp;Action&amp;Action.</f>
        <v>paturer</v>
      </c>
      <c r="H276" s="149" t="s">
        <v>775</v>
      </c>
      <c r="M276" s="150"/>
    </row>
    <row r="277" spans="2:13" s="149" customFormat="1">
      <c r="B277" s="315"/>
      <c r="F277" s="151"/>
      <c r="G277" s="150"/>
      <c r="M277" s="150"/>
    </row>
    <row r="278" spans="2:13" s="149" customFormat="1">
      <c r="B278" s="315"/>
      <c r="C278" s="152" t="str">
        <f>New&amp;Thing.</f>
        <v>tin</v>
      </c>
      <c r="D278" s="149" t="s">
        <v>594</v>
      </c>
      <c r="E278" s="152" t="e">
        <f>New&amp;Quality.</f>
        <v>#NAME?</v>
      </c>
      <c r="F278" s="149" t="s">
        <v>596</v>
      </c>
      <c r="G278" s="152" t="str">
        <f>New&amp;Action.</f>
        <v>tir</v>
      </c>
      <c r="H278" s="150" t="s">
        <v>597</v>
      </c>
      <c r="I278" s="152" t="str">
        <f>New&amp;Manner.</f>
        <v>tiv</v>
      </c>
      <c r="J278" s="150" t="s">
        <v>598</v>
      </c>
      <c r="K278" s="152"/>
      <c r="M278" s="150"/>
    </row>
    <row r="279" spans="2:13" s="149" customFormat="1">
      <c r="B279" s="315"/>
      <c r="C279" s="152" t="str">
        <f>Quality&amp;New&amp;Thing.</f>
        <v>futin</v>
      </c>
      <c r="D279" s="149" t="s">
        <v>595</v>
      </c>
      <c r="G279" s="150"/>
      <c r="H279" s="150"/>
      <c r="K279" s="152"/>
      <c r="M279" s="150"/>
    </row>
    <row r="280" spans="2:13" s="149" customFormat="1">
      <c r="B280" s="315"/>
      <c r="C280" s="152" t="str">
        <f>Trend&amp;New&amp;Thing.</f>
        <v>setin</v>
      </c>
      <c r="D280" s="149" t="s">
        <v>983</v>
      </c>
      <c r="E280" s="152"/>
      <c r="G280" s="152" t="str">
        <f>Trend&amp;New&amp;Action.</f>
        <v>setir</v>
      </c>
      <c r="H280" s="150" t="s">
        <v>603</v>
      </c>
      <c r="K280" s="152"/>
      <c r="M280" s="150"/>
    </row>
    <row r="281" spans="2:13" s="149" customFormat="1">
      <c r="B281" s="315"/>
      <c r="C281" s="155" t="str">
        <f>Inversion&amp;Trend.&amp;New&amp;Thing.</f>
        <v>pastin</v>
      </c>
      <c r="D281" s="149" t="s">
        <v>602</v>
      </c>
      <c r="E281" s="152"/>
      <c r="G281" s="152" t="str">
        <f>Inversion&amp;Trend.&amp;New&amp;Action.</f>
        <v>pastir</v>
      </c>
      <c r="H281" s="150" t="s">
        <v>601</v>
      </c>
      <c r="I281" s="152"/>
      <c r="J281" s="150"/>
      <c r="K281" s="152"/>
      <c r="M281" s="150"/>
    </row>
    <row r="282" spans="2:13" s="149" customFormat="1">
      <c r="B282" s="315"/>
      <c r="C282" s="152"/>
      <c r="G282" s="150"/>
      <c r="H282" s="150"/>
      <c r="K282" s="152"/>
      <c r="M282" s="150"/>
    </row>
    <row r="283" spans="2:13" s="149" customFormat="1">
      <c r="B283" s="315"/>
      <c r="C283" s="155" t="str">
        <f>Group&amp;Trend&amp;Thing.</f>
        <v>yesen</v>
      </c>
      <c r="D283" s="149" t="s">
        <v>879</v>
      </c>
      <c r="G283" s="150"/>
      <c r="H283" s="150"/>
      <c r="K283" s="152"/>
      <c r="M283" s="150"/>
    </row>
    <row r="284" spans="2:13" s="149" customFormat="1">
      <c r="B284" s="315"/>
      <c r="C284" s="155" t="str">
        <f>Space&amp;Origin&amp;Group&amp;Trend&amp;Thing.</f>
        <v>latuyesen</v>
      </c>
      <c r="D284" s="149" t="s">
        <v>812</v>
      </c>
      <c r="E284" s="152" t="e">
        <f>Space&amp;Origin&amp;Group&amp;Trend&amp;Quality.</f>
        <v>#NAME?</v>
      </c>
      <c r="F284" s="149" t="s">
        <v>814</v>
      </c>
      <c r="G284" s="152"/>
      <c r="I284" s="152" t="str">
        <f>Space&amp;Origin&amp;Group&amp;Trend&amp;Manner.</f>
        <v>latuyesev</v>
      </c>
      <c r="J284" s="149" t="s">
        <v>814</v>
      </c>
      <c r="M284" s="150"/>
    </row>
    <row r="285" spans="2:13" s="149" customFormat="1" ht="13.5" customHeight="1">
      <c r="B285" s="316"/>
      <c r="C285" s="152" t="str">
        <f>Space&amp;Inversion&amp;Origin&amp;Group&amp;Trend&amp;Thing.</f>
        <v>lapatuyesen</v>
      </c>
      <c r="D285" s="149" t="s">
        <v>813</v>
      </c>
      <c r="E285" s="152" t="e">
        <f>Space&amp;Inversion&amp;Origin&amp;Group&amp;Trend&amp;Quality.</f>
        <v>#NAME?</v>
      </c>
      <c r="F285" s="149" t="s">
        <v>815</v>
      </c>
      <c r="I285" s="152" t="str">
        <f>Space&amp;Inversion&amp;Origin&amp;Group&amp;Trend&amp;Manner.</f>
        <v>lapatuyesev</v>
      </c>
      <c r="J285" s="149" t="s">
        <v>815</v>
      </c>
      <c r="K285" s="152"/>
      <c r="M285" s="150"/>
    </row>
    <row r="286" spans="2:13" s="149" customFormat="1" ht="13.5" customHeight="1">
      <c r="B286" s="315"/>
      <c r="C286" s="152"/>
      <c r="E286" s="152"/>
      <c r="F286" s="151"/>
      <c r="G286" s="152"/>
      <c r="K286" s="152"/>
      <c r="M286" s="150"/>
    </row>
    <row r="287" spans="2:13" s="149" customFormat="1">
      <c r="B287" s="315"/>
      <c r="C287" s="152"/>
      <c r="G287" s="150"/>
      <c r="H287" s="150"/>
      <c r="K287" s="152"/>
      <c r="M287" s="150"/>
    </row>
    <row r="288" spans="2:13" s="149" customFormat="1" ht="18">
      <c r="B288" s="316" t="s">
        <v>436</v>
      </c>
      <c r="C288" s="152"/>
      <c r="F288" s="151"/>
      <c r="G288" s="150"/>
      <c r="M288" s="150"/>
    </row>
    <row r="289" spans="2:13" s="149" customFormat="1">
      <c r="B289" s="315"/>
      <c r="C289" s="152" t="str">
        <f>Inside&amp;Thing.</f>
        <v>non</v>
      </c>
      <c r="D289" s="149" t="s">
        <v>107</v>
      </c>
      <c r="E289" s="152" t="e">
        <f>Inside&amp;Quality.</f>
        <v>#NAME?</v>
      </c>
      <c r="F289" s="149" t="s">
        <v>109</v>
      </c>
      <c r="G289" s="152" t="str">
        <f>Inside&amp;Action.</f>
        <v>nor</v>
      </c>
      <c r="H289" s="149" t="s">
        <v>410</v>
      </c>
      <c r="I289" s="152" t="str">
        <f>Inside&amp;Manner.</f>
        <v>nov</v>
      </c>
      <c r="J289" s="149" t="s">
        <v>217</v>
      </c>
      <c r="K289" s="152" t="str">
        <f>Inside</f>
        <v>no</v>
      </c>
      <c r="L289" s="149" t="s">
        <v>105</v>
      </c>
      <c r="M289" s="150"/>
    </row>
    <row r="290" spans="2:13" s="149" customFormat="1">
      <c r="B290" s="315"/>
      <c r="C290" s="152" t="str">
        <f>Inversion&amp;Inside&amp;Thing.</f>
        <v>panon</v>
      </c>
      <c r="D290" s="149" t="s">
        <v>108</v>
      </c>
      <c r="E290" s="152" t="e">
        <f>Inversion&amp;Inside&amp;Quality.</f>
        <v>#NAME?</v>
      </c>
      <c r="F290" s="149" t="s">
        <v>110</v>
      </c>
      <c r="G290" s="152" t="str">
        <f>Inversion&amp;Inside&amp;Action.</f>
        <v>panor</v>
      </c>
      <c r="H290" s="149" t="s">
        <v>415</v>
      </c>
      <c r="I290" s="152" t="str">
        <f>Inversion&amp;Inside&amp;Manner.</f>
        <v>panov</v>
      </c>
      <c r="J290" s="149" t="s">
        <v>218</v>
      </c>
      <c r="K290" s="152" t="str">
        <f>Inversion&amp;Inside</f>
        <v>pano</v>
      </c>
      <c r="L290" s="149" t="s">
        <v>106</v>
      </c>
      <c r="M290" s="150"/>
    </row>
    <row r="291" spans="2:13" s="149" customFormat="1">
      <c r="B291" s="315"/>
      <c r="C291" s="152" t="str">
        <f>Trend&amp;Inside&amp;Thing.</f>
        <v>senon</v>
      </c>
      <c r="D291" s="149" t="s">
        <v>358</v>
      </c>
      <c r="E291" s="152" t="e">
        <f>Trend&amp;Inside&amp;Quality.</f>
        <v>#NAME?</v>
      </c>
      <c r="F291" s="149" t="s">
        <v>103</v>
      </c>
      <c r="G291" s="152" t="str">
        <f>Trend&amp;Inside&amp;Action.</f>
        <v>senor</v>
      </c>
      <c r="H291" s="149" t="s">
        <v>411</v>
      </c>
      <c r="I291" s="152" t="str">
        <f>Trend&amp;Inside&amp;Manner.</f>
        <v>senov</v>
      </c>
      <c r="J291" s="149" t="s">
        <v>416</v>
      </c>
      <c r="K291" s="152" t="str">
        <f>Trend&amp;Inside</f>
        <v>seno</v>
      </c>
      <c r="L291" s="149" t="s">
        <v>133</v>
      </c>
      <c r="M291" s="150"/>
    </row>
    <row r="292" spans="2:13" s="149" customFormat="1">
      <c r="B292" s="315"/>
      <c r="C292" s="152" t="str">
        <f>Trend&amp;Inversion&amp;Inside&amp;Thing.</f>
        <v>sepanon</v>
      </c>
      <c r="D292" s="149" t="s">
        <v>418</v>
      </c>
      <c r="E292" s="152" t="e">
        <f>Trend&amp;Inversion&amp;Inside&amp;Quality.</f>
        <v>#NAME?</v>
      </c>
      <c r="F292" s="149" t="s">
        <v>113</v>
      </c>
      <c r="G292" s="152" t="str">
        <f>Trend&amp;Inversion&amp;Inside&amp;Action.</f>
        <v>sepanor</v>
      </c>
      <c r="H292" s="149" t="s">
        <v>112</v>
      </c>
      <c r="I292" s="152" t="str">
        <f>Trend&amp;Inversion&amp;Inside&amp;Manner.</f>
        <v>sepanov</v>
      </c>
      <c r="J292" s="149" t="s">
        <v>417</v>
      </c>
      <c r="K292" s="152" t="str">
        <f>Trend&amp;Inversion&amp;Inside</f>
        <v>sepano</v>
      </c>
      <c r="L292" s="149" t="s">
        <v>104</v>
      </c>
      <c r="M292" s="150"/>
    </row>
    <row r="293" spans="2:13" s="149" customFormat="1">
      <c r="B293" s="315"/>
      <c r="C293" s="152"/>
      <c r="F293" s="151"/>
      <c r="G293" s="152" t="str">
        <f>Self&amp;Trend.&amp;Inside&amp;Action.</f>
        <v>wasnor</v>
      </c>
      <c r="H293" s="149" t="s">
        <v>984</v>
      </c>
      <c r="M293" s="150"/>
    </row>
    <row r="294" spans="2:13" s="149" customFormat="1">
      <c r="B294" s="315"/>
      <c r="C294" s="152"/>
      <c r="F294" s="151"/>
      <c r="G294" s="152" t="str">
        <f>Self&amp;Trend.&amp;Inversion&amp;Inside&amp;Action.</f>
        <v>waspanor</v>
      </c>
      <c r="H294" s="149" t="s">
        <v>985</v>
      </c>
      <c r="M294" s="150"/>
    </row>
    <row r="295" spans="2:13" s="149" customFormat="1">
      <c r="B295" s="315"/>
      <c r="C295" s="152" t="str">
        <f>Action&amp;Trend.&amp;Inside&amp;Thing.</f>
        <v>resnon</v>
      </c>
      <c r="D295" s="149" t="s">
        <v>280</v>
      </c>
      <c r="M295" s="150"/>
    </row>
    <row r="296" spans="2:13" s="149" customFormat="1">
      <c r="B296" s="315"/>
      <c r="C296" s="152" t="str">
        <f>Space&amp;Trend.&amp;Inside&amp;Thing.</f>
        <v>lasnon</v>
      </c>
      <c r="D296" s="149" t="s">
        <v>358</v>
      </c>
      <c r="M296" s="150"/>
    </row>
    <row r="297" spans="2:13" s="149" customFormat="1">
      <c r="B297" s="315"/>
      <c r="C297" s="152" t="str">
        <f>Human&amp;Inside&amp;Thing.</f>
        <v>zunon</v>
      </c>
      <c r="D297" s="149" t="s">
        <v>208</v>
      </c>
      <c r="M297" s="150"/>
    </row>
    <row r="298" spans="2:13" s="149" customFormat="1">
      <c r="B298" s="315"/>
      <c r="C298" s="152" t="str">
        <f>Human&amp;Inversion&amp;Inside&amp;Thing.</f>
        <v>zupanon</v>
      </c>
      <c r="D298" s="149" t="s">
        <v>209</v>
      </c>
      <c r="M298" s="150"/>
    </row>
    <row r="299" spans="2:13" s="149" customFormat="1">
      <c r="B299" s="315"/>
      <c r="M299" s="150"/>
    </row>
    <row r="300" spans="2:13" s="149" customFormat="1">
      <c r="B300" s="315"/>
      <c r="C300" s="152"/>
      <c r="M300" s="150"/>
    </row>
    <row r="301" spans="2:13" s="149" customFormat="1" ht="18">
      <c r="B301" s="316" t="s">
        <v>438</v>
      </c>
      <c r="C301" s="152"/>
      <c r="F301" s="151"/>
      <c r="G301" s="150"/>
      <c r="H301" s="150"/>
      <c r="M301" s="150"/>
    </row>
    <row r="302" spans="2:13" s="149" customFormat="1">
      <c r="B302" s="315"/>
      <c r="C302" s="152" t="str">
        <f>Proximity&amp;Thing.</f>
        <v>nin</v>
      </c>
      <c r="D302" s="149" t="s">
        <v>440</v>
      </c>
      <c r="E302" s="152" t="e">
        <f>Proximity&amp;Quality.</f>
        <v>#NAME?</v>
      </c>
      <c r="F302" s="149" t="s">
        <v>338</v>
      </c>
      <c r="G302" s="152" t="str">
        <f>Proximity&amp;Action.</f>
        <v>nir</v>
      </c>
      <c r="H302" s="149" t="s">
        <v>339</v>
      </c>
      <c r="I302" s="152" t="str">
        <f>Proximity&amp;Manner.</f>
        <v>niv</v>
      </c>
      <c r="J302" s="149" t="s">
        <v>346</v>
      </c>
      <c r="K302" s="152" t="str">
        <f>Proximity</f>
        <v>ni</v>
      </c>
      <c r="L302" s="149" t="s">
        <v>458</v>
      </c>
      <c r="M302" s="150"/>
    </row>
    <row r="303" spans="2:13" s="149" customFormat="1">
      <c r="B303" s="315"/>
      <c r="C303" s="152" t="str">
        <f>Inversion&amp;Proximity&amp;Thing.</f>
        <v>panin</v>
      </c>
      <c r="D303" s="149" t="s">
        <v>439</v>
      </c>
      <c r="E303" s="152" t="e">
        <f>Inversion&amp;Proximity&amp;Quality.</f>
        <v>#NAME?</v>
      </c>
      <c r="F303" s="149" t="s">
        <v>342</v>
      </c>
      <c r="G303" s="152" t="str">
        <f>Inversion&amp;Proximity&amp;Action.</f>
        <v>panir</v>
      </c>
      <c r="H303" s="149" t="s">
        <v>343</v>
      </c>
      <c r="I303" s="152" t="str">
        <f>Inversion&amp;Proximity&amp;Manner.</f>
        <v>paniv</v>
      </c>
      <c r="J303" s="149" t="s">
        <v>347</v>
      </c>
      <c r="K303" s="152" t="str">
        <f>Inversion&amp;Proximity</f>
        <v>pani</v>
      </c>
      <c r="L303" s="149" t="s">
        <v>459</v>
      </c>
      <c r="M303" s="150"/>
    </row>
    <row r="304" spans="2:13" s="149" customFormat="1">
      <c r="B304" s="315"/>
      <c r="C304" s="152" t="str">
        <f>Quality&amp;Proximity&amp;Thing.</f>
        <v>funin</v>
      </c>
      <c r="D304" s="149" t="s">
        <v>345</v>
      </c>
      <c r="F304" s="151"/>
      <c r="G304" s="150"/>
      <c r="H304" s="150"/>
      <c r="M304" s="150"/>
    </row>
    <row r="305" spans="2:13" s="149" customFormat="1">
      <c r="B305" s="315"/>
      <c r="C305" s="152" t="str">
        <f>Quality&amp;Inversion&amp;Proximity&amp;Thing.</f>
        <v>fupanin</v>
      </c>
      <c r="D305" s="149" t="s">
        <v>344</v>
      </c>
      <c r="F305" s="151"/>
      <c r="G305" s="150"/>
      <c r="H305" s="150"/>
      <c r="M305" s="150"/>
    </row>
    <row r="306" spans="2:13" s="149" customFormat="1">
      <c r="B306" s="315"/>
      <c r="C306" s="152" t="str">
        <f>Proximity&amp;Space&amp;Thing.</f>
        <v>nilan</v>
      </c>
      <c r="D306" s="149" t="s">
        <v>355</v>
      </c>
      <c r="E306" s="152" t="e">
        <f>Proximity&amp;Space&amp;Quality.</f>
        <v>#NAME?</v>
      </c>
      <c r="F306" s="149" t="s">
        <v>340</v>
      </c>
      <c r="G306" s="150"/>
      <c r="H306" s="150"/>
      <c r="M306" s="150"/>
    </row>
    <row r="307" spans="2:13" s="149" customFormat="1">
      <c r="B307" s="315"/>
      <c r="C307" s="152" t="str">
        <f>Inversion&amp;Proximity&amp;Space&amp;Thing.</f>
        <v>panilan</v>
      </c>
      <c r="D307" s="149" t="s">
        <v>356</v>
      </c>
      <c r="E307" s="152" t="e">
        <f>Inversion&amp;Proximity&amp;Space&amp;Quality.</f>
        <v>#NAME?</v>
      </c>
      <c r="F307" s="149" t="s">
        <v>341</v>
      </c>
      <c r="G307" s="150"/>
      <c r="H307" s="150"/>
      <c r="K307" s="152" t="str">
        <f>Inversion&amp;Proximity&amp;Space</f>
        <v>panila</v>
      </c>
      <c r="L307" s="149" t="s">
        <v>442</v>
      </c>
      <c r="M307" s="150"/>
    </row>
    <row r="308" spans="2:13" s="149" customFormat="1">
      <c r="B308" s="315"/>
      <c r="E308" s="152" t="e">
        <f>Proximity&amp;Time&amp;Quality.</f>
        <v>#NAME?</v>
      </c>
      <c r="F308" s="149" t="s">
        <v>443</v>
      </c>
      <c r="G308" s="150"/>
      <c r="H308" s="150"/>
      <c r="I308" s="152" t="str">
        <f>Proximity&amp;Time&amp;Manner.</f>
        <v>nilev</v>
      </c>
      <c r="J308" s="149" t="s">
        <v>337</v>
      </c>
      <c r="M308" s="150"/>
    </row>
    <row r="309" spans="2:13" s="149" customFormat="1">
      <c r="B309" s="315"/>
      <c r="E309" s="152" t="e">
        <f>Inversion&amp;Proximity&amp;Time&amp;Quality.</f>
        <v>#NAME?</v>
      </c>
      <c r="F309" s="149" t="s">
        <v>444</v>
      </c>
      <c r="G309" s="150"/>
      <c r="H309" s="150"/>
      <c r="I309" s="152" t="str">
        <f>Inversion&amp;Proximity&amp;Time&amp;Manner.</f>
        <v>panilev</v>
      </c>
      <c r="J309" s="149" t="s">
        <v>441</v>
      </c>
      <c r="M309" s="150"/>
    </row>
    <row r="310" spans="2:13" s="149" customFormat="1">
      <c r="B310" s="315"/>
      <c r="F310" s="151"/>
      <c r="G310" s="150"/>
      <c r="H310" s="150"/>
      <c r="M310" s="150"/>
    </row>
    <row r="311" spans="2:13" s="149" customFormat="1" ht="18">
      <c r="B311" s="316" t="s">
        <v>448</v>
      </c>
      <c r="F311" s="151"/>
      <c r="G311" s="150"/>
      <c r="H311" s="150"/>
      <c r="M311" s="150"/>
    </row>
    <row r="312" spans="2:13" s="149" customFormat="1">
      <c r="B312" s="315" t="s">
        <v>296</v>
      </c>
      <c r="C312" s="152" t="str">
        <f>Author&amp;Action&amp;Thing.</f>
        <v>raren</v>
      </c>
      <c r="D312" s="149" t="s">
        <v>273</v>
      </c>
      <c r="E312" s="152" t="e">
        <f>Author&amp;Action&amp;Quality.</f>
        <v>#NAME?</v>
      </c>
      <c r="F312" s="149" t="s">
        <v>232</v>
      </c>
      <c r="G312" s="150"/>
      <c r="H312" s="150"/>
      <c r="M312" s="150"/>
    </row>
    <row r="313" spans="2:13" s="149" customFormat="1">
      <c r="B313" s="315" t="s">
        <v>296</v>
      </c>
      <c r="C313" s="152" t="str">
        <f>Author&amp;Action&amp;Past&amp;Thing.</f>
        <v>rarecen</v>
      </c>
      <c r="D313" s="149" t="s">
        <v>274</v>
      </c>
      <c r="E313" s="152" t="e">
        <f>Author&amp;Action&amp;Past&amp;Quality.</f>
        <v>#NAME?</v>
      </c>
      <c r="F313" s="149" t="s">
        <v>233</v>
      </c>
      <c r="G313" s="150"/>
      <c r="H313" s="150"/>
      <c r="M313" s="150"/>
    </row>
    <row r="314" spans="2:13" s="149" customFormat="1">
      <c r="B314" s="315" t="s">
        <v>296</v>
      </c>
      <c r="C314" s="152" t="str">
        <f>Author&amp;Action&amp;Trend&amp;Thing.</f>
        <v>raresen</v>
      </c>
      <c r="D314" s="149" t="s">
        <v>773</v>
      </c>
      <c r="E314" s="152" t="e">
        <f>Author&amp;Action&amp;Trend&amp;Quality.</f>
        <v>#NAME?</v>
      </c>
      <c r="F314" s="149" t="s">
        <v>772</v>
      </c>
      <c r="G314" s="150"/>
      <c r="H314" s="150"/>
      <c r="M314" s="150"/>
    </row>
    <row r="315" spans="2:13" s="149" customFormat="1">
      <c r="B315" s="315" t="s">
        <v>296</v>
      </c>
      <c r="C315" s="152" t="str">
        <f>Objet&amp;Action&amp;Thing.</f>
        <v>meren</v>
      </c>
      <c r="D315" s="149" t="s">
        <v>449</v>
      </c>
      <c r="E315" s="152" t="e">
        <f>Objet&amp;Action&amp;Quality.</f>
        <v>#NAME?</v>
      </c>
      <c r="F315" s="149" t="s">
        <v>235</v>
      </c>
      <c r="G315" s="150"/>
      <c r="H315" s="150"/>
      <c r="M315" s="150"/>
    </row>
    <row r="316" spans="2:13" s="149" customFormat="1">
      <c r="B316" s="315" t="s">
        <v>296</v>
      </c>
      <c r="C316" s="152" t="str">
        <f>Objet&amp;Action&amp;Past&amp;Thing.</f>
        <v>merecen</v>
      </c>
      <c r="D316" s="149" t="s">
        <v>986</v>
      </c>
      <c r="E316" s="152" t="e">
        <f>Objet&amp;Action&amp;Past&amp;Quality.</f>
        <v>#NAME?</v>
      </c>
      <c r="F316" s="149" t="s">
        <v>226</v>
      </c>
      <c r="G316" s="150"/>
      <c r="H316" s="150"/>
      <c r="M316" s="150"/>
    </row>
    <row r="317" spans="2:13" s="149" customFormat="1">
      <c r="B317" s="315" t="s">
        <v>296</v>
      </c>
      <c r="C317" s="152" t="str">
        <f>Objet&amp;Action&amp;Trend&amp;Thing.</f>
        <v>meresen</v>
      </c>
      <c r="E317" s="152" t="e">
        <f>Objet&amp;Action&amp;Trend&amp;Quality.</f>
        <v>#NAME?</v>
      </c>
      <c r="F317" s="149" t="s">
        <v>272</v>
      </c>
      <c r="G317" s="150"/>
      <c r="H317" s="150"/>
      <c r="M317" s="150"/>
    </row>
    <row r="318" spans="2:13" s="149" customFormat="1">
      <c r="B318" s="315" t="s">
        <v>296</v>
      </c>
      <c r="C318" s="152" t="str">
        <f>Author&amp;Objet&amp;Action&amp;Thing.</f>
        <v>rameren</v>
      </c>
      <c r="E318" s="152" t="e">
        <f>Author&amp;Author&amp;Action&amp;Quality.</f>
        <v>#NAME?</v>
      </c>
      <c r="G318" s="150"/>
      <c r="H318" s="150"/>
      <c r="M318" s="150"/>
    </row>
    <row r="319" spans="2:13" s="149" customFormat="1">
      <c r="B319" s="315" t="s">
        <v>296</v>
      </c>
      <c r="C319" s="152" t="str">
        <f>Author&amp;Objet&amp;Action&amp;Past&amp;Thing.</f>
        <v>ramerecen</v>
      </c>
      <c r="E319" s="152" t="e">
        <f>Author&amp;Author&amp;Action&amp;Past&amp;Quality.</f>
        <v>#NAME?</v>
      </c>
      <c r="F319" s="149" t="s">
        <v>234</v>
      </c>
      <c r="G319" s="150"/>
      <c r="H319" s="150"/>
      <c r="M319" s="150"/>
    </row>
    <row r="320" spans="2:13" s="149" customFormat="1">
      <c r="B320" s="315" t="s">
        <v>296</v>
      </c>
      <c r="C320" s="152" t="str">
        <f>Author&amp;Objet&amp;Action&amp;Trend&amp;Thing.</f>
        <v>rameresen</v>
      </c>
      <c r="E320" s="152" t="e">
        <f>Author&amp;Author&amp;Action&amp;Trend&amp;Quality.</f>
        <v>#NAME?</v>
      </c>
      <c r="G320" s="150"/>
      <c r="H320" s="150"/>
      <c r="M320" s="150"/>
    </row>
    <row r="321" spans="2:13" s="149" customFormat="1">
      <c r="B321" s="315" t="s">
        <v>296</v>
      </c>
      <c r="C321" s="152" t="str">
        <f>Objet&amp;Objet&amp;Action&amp;Thing.</f>
        <v>memeren</v>
      </c>
      <c r="E321" s="152" t="e">
        <f>Objet&amp;Objet&amp;Action&amp;Quality.</f>
        <v>#NAME?</v>
      </c>
      <c r="F321" s="149" t="s">
        <v>235</v>
      </c>
      <c r="G321" s="150"/>
      <c r="H321" s="150"/>
      <c r="M321" s="150"/>
    </row>
    <row r="322" spans="2:13" s="149" customFormat="1">
      <c r="B322" s="315" t="s">
        <v>296</v>
      </c>
      <c r="C322" s="152" t="str">
        <f>Objet&amp;Objet&amp;Action&amp;Past&amp;Thing.</f>
        <v>memerecen</v>
      </c>
      <c r="E322" s="152" t="e">
        <f>Objet&amp;Objet&amp;Action&amp;Past&amp;Quality.</f>
        <v>#NAME?</v>
      </c>
      <c r="G322" s="150"/>
      <c r="H322" s="150"/>
      <c r="M322" s="150"/>
    </row>
    <row r="323" spans="2:13" s="149" customFormat="1">
      <c r="B323" s="315" t="s">
        <v>296</v>
      </c>
      <c r="C323" s="152" t="str">
        <f>Objet&amp;Objet&amp;Action&amp;Trend&amp;Thing.</f>
        <v>memeresen</v>
      </c>
      <c r="E323" s="152" t="e">
        <f>Objet&amp;Objet&amp;Action&amp;Trend&amp;Quality.</f>
        <v>#NAME?</v>
      </c>
      <c r="G323" s="150"/>
      <c r="H323" s="150"/>
      <c r="M323" s="150"/>
    </row>
    <row r="324" spans="2:13" s="149" customFormat="1">
      <c r="B324" s="315"/>
      <c r="C324" s="152"/>
      <c r="G324" s="150"/>
      <c r="H324" s="150"/>
      <c r="M324" s="150"/>
    </row>
    <row r="325" spans="2:13" s="149" customFormat="1">
      <c r="B325" s="315"/>
      <c r="C325" s="152"/>
      <c r="G325" s="150"/>
      <c r="H325" s="150"/>
      <c r="K325" s="152" t="e">
        <f>Hypothesis&amp;Negation</f>
        <v>#NAME?</v>
      </c>
      <c r="L325" s="149" t="s">
        <v>244</v>
      </c>
      <c r="M325" s="150"/>
    </row>
    <row r="326" spans="2:13" s="149" customFormat="1">
      <c r="B326" s="315"/>
      <c r="C326" s="152"/>
      <c r="G326" s="150"/>
      <c r="H326" s="150"/>
      <c r="K326" s="152"/>
      <c r="M326" s="150"/>
    </row>
    <row r="327" spans="2:13" s="149" customFormat="1">
      <c r="B327" s="315"/>
      <c r="C327" s="152"/>
      <c r="G327" s="150"/>
      <c r="H327" s="150"/>
      <c r="K327" s="152" t="str">
        <f>Contribution</f>
        <v>si</v>
      </c>
      <c r="L327" s="149" t="s">
        <v>247</v>
      </c>
      <c r="M327" s="150"/>
    </row>
    <row r="328" spans="2:13" s="149" customFormat="1">
      <c r="B328" s="315"/>
      <c r="C328" s="152"/>
      <c r="G328" s="150"/>
      <c r="H328" s="150"/>
      <c r="K328" s="152" t="str">
        <f>Inversion&amp;Contribution</f>
        <v>pasi</v>
      </c>
      <c r="L328" s="149" t="s">
        <v>457</v>
      </c>
      <c r="M328" s="150"/>
    </row>
    <row r="329" spans="2:13" s="149" customFormat="1">
      <c r="B329" s="315"/>
      <c r="C329" s="152"/>
      <c r="G329" s="150"/>
      <c r="H329" s="150"/>
      <c r="M329" s="150"/>
    </row>
    <row r="330" spans="2:13" s="149" customFormat="1">
      <c r="B330" s="315"/>
      <c r="C330" s="152"/>
      <c r="G330" s="150"/>
      <c r="H330" s="150"/>
      <c r="K330" s="152"/>
      <c r="M330" s="150"/>
    </row>
    <row r="331" spans="2:13" s="149" customFormat="1">
      <c r="B331" s="315"/>
      <c r="C331" s="152"/>
      <c r="G331" s="150"/>
      <c r="H331" s="150"/>
      <c r="M331" s="150"/>
    </row>
    <row r="332" spans="2:13" s="149" customFormat="1">
      <c r="B332" s="315"/>
      <c r="C332" s="152"/>
      <c r="G332" s="150"/>
      <c r="H332" s="150"/>
      <c r="M332" s="150"/>
    </row>
    <row r="333" spans="2:13" s="149" customFormat="1">
      <c r="B333" s="315"/>
      <c r="C333" s="152"/>
      <c r="G333" s="150"/>
      <c r="H333" s="150"/>
      <c r="M333" s="150"/>
    </row>
    <row r="334" spans="2:13" s="149" customFormat="1">
      <c r="B334" s="315"/>
      <c r="C334" s="152"/>
      <c r="G334" s="150"/>
      <c r="H334" s="150"/>
      <c r="M334" s="150"/>
    </row>
    <row r="335" spans="2:13" s="149" customFormat="1">
      <c r="B335" s="315"/>
      <c r="C335" s="152"/>
      <c r="G335" s="150"/>
      <c r="H335" s="150"/>
      <c r="M335" s="150"/>
    </row>
    <row r="336" spans="2:13" s="149" customFormat="1">
      <c r="B336" s="315"/>
      <c r="C336" s="152"/>
      <c r="G336" s="150"/>
      <c r="H336" s="150"/>
      <c r="M336" s="150"/>
    </row>
    <row r="337" spans="2:13" s="149" customFormat="1">
      <c r="B337" s="315"/>
      <c r="C337" s="152"/>
      <c r="G337" s="150"/>
      <c r="H337" s="150"/>
      <c r="M337" s="150"/>
    </row>
    <row r="338" spans="2:13" s="149" customFormat="1">
      <c r="B338" s="315"/>
      <c r="C338" s="152"/>
      <c r="G338" s="150"/>
      <c r="H338" s="150"/>
      <c r="M338" s="150"/>
    </row>
    <row r="339" spans="2:13" s="149" customFormat="1">
      <c r="B339" s="315"/>
      <c r="C339" s="152"/>
      <c r="F339" s="150"/>
      <c r="G339" s="150"/>
      <c r="H339" s="150"/>
      <c r="M339" s="150"/>
    </row>
    <row r="340" spans="2:13" s="149" customFormat="1">
      <c r="B340" s="315"/>
      <c r="C340" s="152"/>
      <c r="F340" s="150"/>
      <c r="G340" s="150"/>
      <c r="H340" s="150"/>
      <c r="M340" s="150"/>
    </row>
    <row r="341" spans="2:13" s="149" customFormat="1">
      <c r="B341" s="315"/>
      <c r="C341" s="152"/>
      <c r="F341" s="150"/>
      <c r="G341" s="150"/>
      <c r="H341" s="150"/>
      <c r="M341" s="150"/>
    </row>
    <row r="342" spans="2:13" s="149" customFormat="1">
      <c r="B342" s="315"/>
      <c r="C342" s="152"/>
      <c r="F342" s="150"/>
      <c r="G342" s="150"/>
      <c r="H342" s="150"/>
      <c r="M342" s="150"/>
    </row>
    <row r="343" spans="2:13" s="149" customFormat="1">
      <c r="B343" s="315"/>
      <c r="C343" s="152"/>
      <c r="F343" s="150"/>
      <c r="G343" s="150"/>
      <c r="H343" s="150"/>
      <c r="M343" s="150"/>
    </row>
    <row r="344" spans="2:13" s="149" customFormat="1">
      <c r="B344" s="315"/>
      <c r="C344" s="152"/>
      <c r="F344" s="150"/>
      <c r="G344" s="150"/>
      <c r="H344" s="150"/>
      <c r="M344" s="150"/>
    </row>
    <row r="345" spans="2:13" s="149" customFormat="1">
      <c r="B345" s="315"/>
      <c r="F345" s="150"/>
      <c r="G345" s="150"/>
      <c r="H345" s="150"/>
      <c r="M345" s="150"/>
    </row>
    <row r="346" spans="2:13" s="149" customFormat="1">
      <c r="B346" s="315"/>
      <c r="F346" s="150"/>
      <c r="G346" s="150"/>
      <c r="H346" s="150"/>
      <c r="M346" s="150"/>
    </row>
    <row r="347" spans="2:13" s="149" customFormat="1">
      <c r="B347" s="315"/>
      <c r="F347" s="150"/>
      <c r="G347" s="150"/>
      <c r="H347" s="150"/>
      <c r="M347" s="150"/>
    </row>
    <row r="348" spans="2:13" s="149" customFormat="1">
      <c r="B348" s="315"/>
      <c r="F348" s="150"/>
      <c r="G348" s="150"/>
      <c r="H348" s="150"/>
      <c r="M348" s="150"/>
    </row>
    <row r="349" spans="2:13" s="149" customFormat="1">
      <c r="B349" s="315"/>
      <c r="F349" s="150"/>
      <c r="G349" s="150"/>
      <c r="H349" s="150"/>
      <c r="M349" s="150"/>
    </row>
    <row r="350" spans="2:13" s="149" customFormat="1">
      <c r="B350" s="315"/>
      <c r="F350" s="150"/>
      <c r="G350" s="150"/>
      <c r="H350" s="150"/>
      <c r="M350" s="150"/>
    </row>
    <row r="351" spans="2:13" s="149" customFormat="1">
      <c r="B351" s="315"/>
      <c r="F351" s="150"/>
      <c r="G351" s="150"/>
      <c r="H351" s="150"/>
      <c r="M351" s="150"/>
    </row>
    <row r="352" spans="2:13" s="149" customFormat="1">
      <c r="B352" s="315"/>
      <c r="F352" s="150"/>
      <c r="G352" s="150"/>
      <c r="H352" s="150"/>
      <c r="M352" s="150"/>
    </row>
    <row r="353" spans="2:13" s="149" customFormat="1">
      <c r="B353" s="315"/>
      <c r="F353" s="150"/>
      <c r="G353" s="150"/>
      <c r="H353" s="150"/>
      <c r="M353" s="150"/>
    </row>
    <row r="354" spans="2:13" s="149" customFormat="1">
      <c r="B354" s="315"/>
      <c r="F354" s="150"/>
      <c r="G354" s="150"/>
      <c r="H354" s="150"/>
      <c r="M354" s="150"/>
    </row>
    <row r="355" spans="2:13" s="149" customFormat="1">
      <c r="B355" s="315"/>
      <c r="F355" s="150"/>
      <c r="G355" s="150"/>
      <c r="H355" s="150"/>
      <c r="M355" s="150"/>
    </row>
    <row r="356" spans="2:13" s="149" customFormat="1">
      <c r="B356" s="315"/>
      <c r="F356" s="150"/>
      <c r="G356" s="150"/>
      <c r="H356" s="150"/>
      <c r="M356" s="150"/>
    </row>
    <row r="357" spans="2:13" s="149" customFormat="1">
      <c r="B357" s="315"/>
      <c r="F357" s="150"/>
      <c r="G357" s="150"/>
      <c r="H357" s="150"/>
      <c r="M357" s="150"/>
    </row>
    <row r="358" spans="2:13" s="149" customFormat="1">
      <c r="B358" s="315"/>
      <c r="F358" s="150"/>
      <c r="G358" s="150"/>
      <c r="H358" s="150"/>
      <c r="M358" s="150"/>
    </row>
    <row r="359" spans="2:13" s="149" customFormat="1">
      <c r="B359" s="315"/>
      <c r="F359" s="150"/>
      <c r="G359" s="150"/>
      <c r="H359" s="150"/>
      <c r="M359" s="150"/>
    </row>
    <row r="360" spans="2:13" s="149" customFormat="1">
      <c r="B360" s="315"/>
      <c r="C360" s="152"/>
      <c r="F360" s="151"/>
      <c r="G360" s="150"/>
      <c r="H360" s="150"/>
      <c r="M360" s="150"/>
    </row>
    <row r="361" spans="2:13" s="149" customFormat="1">
      <c r="B361" s="315"/>
      <c r="H361" s="150"/>
      <c r="M361" s="150"/>
    </row>
    <row r="362" spans="2:13" s="149" customFormat="1">
      <c r="B362" s="315"/>
      <c r="H362" s="150"/>
      <c r="M362" s="150"/>
    </row>
    <row r="363" spans="2:13" s="149" customFormat="1">
      <c r="B363" s="315"/>
      <c r="H363" s="150"/>
      <c r="M363" s="150"/>
    </row>
    <row r="364" spans="2:13" s="149" customFormat="1">
      <c r="B364" s="315"/>
      <c r="H364" s="150"/>
      <c r="M364" s="150"/>
    </row>
    <row r="365" spans="2:13" s="149" customFormat="1">
      <c r="B365" s="315"/>
      <c r="H365" s="150"/>
      <c r="M365" s="150"/>
    </row>
    <row r="366" spans="2:13" s="149" customFormat="1">
      <c r="B366" s="315"/>
      <c r="H366" s="150"/>
      <c r="M366" s="150"/>
    </row>
    <row r="367" spans="2:13" s="149" customFormat="1">
      <c r="B367" s="315"/>
      <c r="H367" s="150"/>
      <c r="M367" s="150"/>
    </row>
    <row r="368" spans="2:13" s="149" customFormat="1">
      <c r="B368" s="315"/>
      <c r="H368" s="150"/>
      <c r="M368" s="150"/>
    </row>
    <row r="369" spans="2:13" s="149" customFormat="1">
      <c r="B369" s="315"/>
      <c r="H369" s="150"/>
      <c r="M369" s="150"/>
    </row>
    <row r="370" spans="2:13" s="149" customFormat="1">
      <c r="B370" s="315"/>
      <c r="H370" s="150"/>
      <c r="M370" s="150"/>
    </row>
    <row r="371" spans="2:13" s="149" customFormat="1">
      <c r="B371" s="315"/>
      <c r="H371" s="150"/>
      <c r="M371" s="150"/>
    </row>
    <row r="372" spans="2:13" s="149" customFormat="1">
      <c r="B372" s="315"/>
      <c r="H372" s="150"/>
      <c r="M372" s="150"/>
    </row>
    <row r="373" spans="2:13" s="149" customFormat="1">
      <c r="B373" s="315"/>
      <c r="H373" s="150"/>
      <c r="M373" s="150"/>
    </row>
    <row r="374" spans="2:13" s="149" customFormat="1">
      <c r="B374" s="315"/>
      <c r="H374" s="150"/>
      <c r="M374" s="150"/>
    </row>
    <row r="375" spans="2:13" s="149" customFormat="1">
      <c r="B375" s="315"/>
      <c r="H375" s="150"/>
      <c r="M375" s="150"/>
    </row>
    <row r="376" spans="2:13" s="149" customFormat="1">
      <c r="B376" s="315"/>
      <c r="H376" s="150"/>
      <c r="M376" s="150"/>
    </row>
    <row r="377" spans="2:13" s="149" customFormat="1">
      <c r="B377" s="315"/>
      <c r="H377" s="150"/>
      <c r="M377" s="150"/>
    </row>
    <row r="378" spans="2:13" s="149" customFormat="1">
      <c r="B378" s="315"/>
      <c r="H378" s="150"/>
      <c r="M378" s="150"/>
    </row>
    <row r="379" spans="2:13" s="149" customFormat="1">
      <c r="B379" s="315"/>
      <c r="H379" s="150"/>
      <c r="M379" s="150"/>
    </row>
    <row r="380" spans="2:13" s="149" customFormat="1">
      <c r="B380" s="315"/>
      <c r="H380" s="150"/>
      <c r="M380" s="150"/>
    </row>
    <row r="381" spans="2:13" s="149" customFormat="1">
      <c r="B381" s="315"/>
      <c r="H381" s="150"/>
      <c r="M381" s="150"/>
    </row>
    <row r="382" spans="2:13" s="149" customFormat="1">
      <c r="B382" s="315"/>
      <c r="H382" s="150"/>
      <c r="M382" s="150"/>
    </row>
    <row r="383" spans="2:13" s="149" customFormat="1">
      <c r="B383" s="315"/>
      <c r="H383" s="150"/>
      <c r="M383" s="150"/>
    </row>
    <row r="384" spans="2:13" s="149" customFormat="1">
      <c r="B384" s="315"/>
      <c r="H384" s="150"/>
      <c r="M384" s="150"/>
    </row>
    <row r="385" spans="2:13" s="149" customFormat="1">
      <c r="B385" s="315"/>
      <c r="H385" s="150"/>
      <c r="M385" s="150"/>
    </row>
    <row r="386" spans="2:13" s="149" customFormat="1">
      <c r="B386" s="315"/>
      <c r="H386" s="150"/>
      <c r="M386" s="150"/>
    </row>
    <row r="387" spans="2:13" s="149" customFormat="1">
      <c r="B387" s="315"/>
      <c r="H387" s="150"/>
      <c r="M387" s="150"/>
    </row>
    <row r="388" spans="2:13" s="149" customFormat="1">
      <c r="B388" s="315"/>
      <c r="H388" s="150"/>
      <c r="M388" s="150"/>
    </row>
    <row r="389" spans="2:13" s="149" customFormat="1">
      <c r="B389" s="315"/>
      <c r="H389" s="150"/>
      <c r="M389" s="150"/>
    </row>
    <row r="390" spans="2:13" s="149" customFormat="1">
      <c r="B390" s="315"/>
      <c r="H390" s="150"/>
      <c r="M390" s="150"/>
    </row>
    <row r="391" spans="2:13" s="149" customFormat="1">
      <c r="B391" s="315"/>
      <c r="H391" s="150"/>
      <c r="M391" s="150"/>
    </row>
    <row r="392" spans="2:13" s="149" customFormat="1">
      <c r="B392" s="315"/>
      <c r="H392" s="150"/>
      <c r="M392" s="150"/>
    </row>
    <row r="393" spans="2:13" s="149" customFormat="1">
      <c r="B393" s="315"/>
      <c r="H393" s="150"/>
      <c r="M393" s="150"/>
    </row>
    <row r="394" spans="2:13" s="88" customFormat="1">
      <c r="B394" s="322"/>
      <c r="H394" s="148"/>
      <c r="M394" s="148"/>
    </row>
    <row r="395" spans="2:13" s="146" customFormat="1">
      <c r="B395" s="323"/>
      <c r="H395" s="147"/>
      <c r="M395" s="147"/>
    </row>
    <row r="396" spans="2:13" s="146" customFormat="1">
      <c r="B396" s="323"/>
      <c r="H396" s="147"/>
      <c r="M396" s="147"/>
    </row>
    <row r="397" spans="2:13" s="146" customFormat="1">
      <c r="B397" s="323"/>
      <c r="H397" s="147"/>
      <c r="M397" s="147"/>
    </row>
    <row r="398" spans="2:13" s="146" customFormat="1">
      <c r="B398" s="323"/>
      <c r="H398" s="147"/>
      <c r="M398" s="147"/>
    </row>
    <row r="399" spans="2:13" s="146" customFormat="1">
      <c r="B399" s="323"/>
      <c r="H399" s="147"/>
      <c r="M399" s="147"/>
    </row>
    <row r="400" spans="2:13" s="146" customFormat="1">
      <c r="B400" s="323"/>
      <c r="H400" s="147"/>
      <c r="M400" s="147"/>
    </row>
    <row r="401" spans="2:13" s="146" customFormat="1">
      <c r="B401" s="323"/>
      <c r="H401" s="147"/>
      <c r="M401" s="147"/>
    </row>
    <row r="402" spans="2:13" s="146" customFormat="1">
      <c r="B402" s="323"/>
      <c r="H402" s="147"/>
      <c r="M402" s="147"/>
    </row>
    <row r="403" spans="2:13" s="146" customFormat="1">
      <c r="B403" s="323"/>
      <c r="H403" s="147"/>
      <c r="M403" s="147"/>
    </row>
    <row r="404" spans="2:13" s="146" customFormat="1">
      <c r="B404" s="323"/>
      <c r="H404" s="147"/>
      <c r="M404" s="147"/>
    </row>
    <row r="405" spans="2:13" s="146" customFormat="1">
      <c r="B405" s="323"/>
      <c r="H405" s="147"/>
      <c r="M405" s="147"/>
    </row>
    <row r="406" spans="2:13" s="146" customFormat="1">
      <c r="B406" s="323"/>
      <c r="H406" s="147"/>
      <c r="M406" s="147"/>
    </row>
    <row r="407" spans="2:13" s="146" customFormat="1">
      <c r="B407" s="323"/>
      <c r="H407" s="147"/>
      <c r="M407" s="147"/>
    </row>
    <row r="408" spans="2:13" s="146" customFormat="1">
      <c r="B408" s="323"/>
      <c r="H408" s="147"/>
      <c r="M408" s="147"/>
    </row>
    <row r="409" spans="2:13" s="146" customFormat="1">
      <c r="B409" s="323"/>
      <c r="H409" s="147"/>
      <c r="M409" s="147"/>
    </row>
    <row r="410" spans="2:13" s="146" customFormat="1">
      <c r="B410" s="323"/>
      <c r="H410" s="147"/>
      <c r="M410" s="147"/>
    </row>
    <row r="411" spans="2:13" s="146" customFormat="1">
      <c r="B411" s="323"/>
      <c r="H411" s="147"/>
      <c r="M411" s="147"/>
    </row>
    <row r="412" spans="2:13" s="146" customFormat="1">
      <c r="B412" s="323"/>
      <c r="H412" s="147"/>
      <c r="M412" s="147"/>
    </row>
    <row r="413" spans="2:13" s="146" customFormat="1">
      <c r="B413" s="323"/>
      <c r="H413" s="147"/>
      <c r="M413" s="147"/>
    </row>
    <row r="414" spans="2:13" s="146" customFormat="1">
      <c r="B414" s="323"/>
      <c r="H414" s="147"/>
      <c r="M414" s="147"/>
    </row>
    <row r="415" spans="2:13" s="146" customFormat="1">
      <c r="B415" s="323"/>
      <c r="H415" s="147"/>
      <c r="M415" s="147"/>
    </row>
    <row r="416" spans="2:13" s="146" customFormat="1">
      <c r="B416" s="323"/>
      <c r="H416" s="147"/>
      <c r="M416" s="147"/>
    </row>
    <row r="417" spans="2:13" s="146" customFormat="1">
      <c r="B417" s="323"/>
      <c r="H417" s="147"/>
      <c r="M417" s="147"/>
    </row>
    <row r="418" spans="2:13" s="146" customFormat="1">
      <c r="B418" s="323"/>
      <c r="H418" s="147"/>
      <c r="M418" s="147"/>
    </row>
    <row r="419" spans="2:13" s="146" customFormat="1">
      <c r="B419" s="323"/>
      <c r="H419" s="147"/>
      <c r="M419" s="147"/>
    </row>
    <row r="420" spans="2:13" s="146" customFormat="1">
      <c r="B420" s="323"/>
      <c r="H420" s="147"/>
      <c r="M420" s="147"/>
    </row>
    <row r="421" spans="2:13" s="146" customFormat="1">
      <c r="B421" s="323"/>
      <c r="H421" s="147"/>
      <c r="M421" s="147"/>
    </row>
    <row r="422" spans="2:13" s="146" customFormat="1">
      <c r="B422" s="323"/>
      <c r="H422" s="147"/>
      <c r="M422" s="147"/>
    </row>
    <row r="423" spans="2:13" s="146" customFormat="1">
      <c r="B423" s="323"/>
      <c r="H423" s="147"/>
      <c r="M423" s="147"/>
    </row>
    <row r="424" spans="2:13" s="146" customFormat="1">
      <c r="B424" s="323"/>
      <c r="H424" s="147"/>
      <c r="M424" s="147"/>
    </row>
    <row r="425" spans="2:13" s="146" customFormat="1">
      <c r="B425" s="323"/>
      <c r="H425" s="147"/>
      <c r="M425" s="147"/>
    </row>
    <row r="426" spans="2:13" s="146" customFormat="1">
      <c r="B426" s="323"/>
      <c r="H426" s="147"/>
      <c r="M426" s="147"/>
    </row>
    <row r="427" spans="2:13" s="146" customFormat="1">
      <c r="B427" s="323"/>
      <c r="H427" s="147"/>
      <c r="M427" s="147"/>
    </row>
    <row r="428" spans="2:13" s="146" customFormat="1">
      <c r="B428" s="323"/>
      <c r="H428" s="147"/>
      <c r="M428" s="147"/>
    </row>
    <row r="429" spans="2:13" s="146" customFormat="1">
      <c r="B429" s="323"/>
      <c r="H429" s="147"/>
      <c r="M429" s="147"/>
    </row>
    <row r="430" spans="2:13" s="146" customFormat="1">
      <c r="B430" s="323"/>
      <c r="H430" s="147"/>
      <c r="M430" s="147"/>
    </row>
    <row r="431" spans="2:13" s="146" customFormat="1">
      <c r="B431" s="323"/>
      <c r="H431" s="147"/>
      <c r="M431" s="147"/>
    </row>
    <row r="432" spans="2:13" s="146" customFormat="1">
      <c r="B432" s="323"/>
      <c r="H432" s="147"/>
      <c r="M432" s="147"/>
    </row>
    <row r="433" spans="2:13" s="146" customFormat="1">
      <c r="B433" s="323"/>
      <c r="H433" s="147"/>
      <c r="M433" s="147"/>
    </row>
    <row r="434" spans="2:13" s="146" customFormat="1">
      <c r="B434" s="323"/>
      <c r="H434" s="147"/>
      <c r="M434" s="147"/>
    </row>
    <row r="435" spans="2:13" s="146" customFormat="1">
      <c r="B435" s="323"/>
      <c r="H435" s="147"/>
      <c r="M435" s="147"/>
    </row>
    <row r="436" spans="2:13" s="146" customFormat="1">
      <c r="B436" s="323"/>
      <c r="H436" s="147"/>
      <c r="M436" s="147"/>
    </row>
    <row r="437" spans="2:13" s="146" customFormat="1">
      <c r="B437" s="323"/>
      <c r="H437" s="147"/>
      <c r="M437" s="14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B1:M24"/>
  <sheetViews>
    <sheetView showGridLines="0" workbookViewId="0">
      <pane ySplit="2" topLeftCell="A3" activePane="bottomLeft" state="frozen"/>
      <selection pane="bottomLeft" activeCell="F16" sqref="F16"/>
    </sheetView>
  </sheetViews>
  <sheetFormatPr defaultRowHeight="20.25"/>
  <cols>
    <col min="2" max="2" width="14.28515625" style="291" bestFit="1" customWidth="1"/>
    <col min="3" max="7" width="4" style="284" customWidth="1"/>
    <col min="8" max="8" width="4" style="285" customWidth="1"/>
    <col min="9" max="9" width="17.85546875" style="282" bestFit="1" customWidth="1"/>
    <col min="10" max="10" width="13.85546875" style="281" bestFit="1" customWidth="1"/>
    <col min="11" max="11" width="27.42578125" style="280" bestFit="1" customWidth="1"/>
    <col min="12" max="12" width="2.28515625" style="280" bestFit="1" customWidth="1"/>
    <col min="13" max="13" width="22.140625" style="280" bestFit="1" customWidth="1"/>
  </cols>
  <sheetData>
    <row r="1" spans="2:13" ht="21" thickBot="1"/>
    <row r="2" spans="2:13" s="281" customFormat="1" ht="15.75" thickBot="1">
      <c r="B2" s="292" t="s">
        <v>1073</v>
      </c>
      <c r="C2" s="293">
        <v>1</v>
      </c>
      <c r="D2" s="293">
        <v>2</v>
      </c>
      <c r="E2" s="293">
        <v>3</v>
      </c>
      <c r="F2" s="293">
        <v>4</v>
      </c>
      <c r="G2" s="293">
        <v>5</v>
      </c>
      <c r="H2" s="293"/>
      <c r="I2" s="293" t="s">
        <v>1276</v>
      </c>
      <c r="J2" s="293" t="s">
        <v>1074</v>
      </c>
      <c r="K2" s="293" t="s">
        <v>1072</v>
      </c>
      <c r="L2" s="293"/>
      <c r="M2" s="293" t="s">
        <v>1063</v>
      </c>
    </row>
    <row r="3" spans="2:13" s="276" customFormat="1" ht="21" customHeight="1">
      <c r="B3" s="290" t="str">
        <f>IFERROR("0."&amp;VLOOKUP(C3,Radicals!$T$3:$U$103,2,FALSE)&amp;IFERROR(VLOOKUP(D3,Radicals!$T$3:$U$103,2,FALSE),"")&amp;IFERROR(VLOOKUP(E3,Radicals!$T$3:$U98,2,FALSE),"")&amp;IFERROR(VLOOKUP(F3,Radicals!$T$3:$U$103,2,FALSE),"")&amp;IFERROR(VLOOKUP(G3,Radicals!$T$3:$U$103,2,FALSE),""),"")</f>
        <v>0.09</v>
      </c>
      <c r="C3" s="305" t="str">
        <f>Action</f>
        <v>re</v>
      </c>
      <c r="D3" s="305"/>
      <c r="E3" s="305"/>
      <c r="F3" s="305"/>
      <c r="G3" s="305"/>
      <c r="H3" s="306"/>
      <c r="I3" s="307" t="str">
        <f t="shared" ref="I3:I14" si="0">J3</f>
        <v>ren</v>
      </c>
      <c r="J3" s="288" t="str">
        <f t="shared" ref="J3:J21" si="1">IF(CONCATENATE(C3,D3,E3,F3,G3,H3)="","",CONCATENATE(C3,D3,E3,F3,G3,H3)&amp;Thing.)</f>
        <v>ren</v>
      </c>
      <c r="K3" s="283" t="s">
        <v>373</v>
      </c>
      <c r="L3" s="283"/>
      <c r="M3" s="283"/>
    </row>
    <row r="4" spans="2:13" s="276" customFormat="1" ht="21" customHeight="1">
      <c r="B4" s="290" t="str">
        <f>IFERROR("0."&amp;VLOOKUP(C4,Radicals!$T$3:$U$103,2,FALSE)&amp;IFERROR(VLOOKUP(D4,Radicals!$T$3:$U$103,2,FALSE),"")&amp;IFERROR(VLOOKUP(E4,Radicals!$T$3:$U99,2,FALSE),"")&amp;IFERROR(VLOOKUP(F4,Radicals!$T$3:$U$103,2,FALSE),"")&amp;IFERROR(VLOOKUP(G4,Radicals!$T$3:$U$103,2,FALSE),""),"")</f>
        <v>0.0992</v>
      </c>
      <c r="C4" s="305" t="str">
        <f>Action</f>
        <v>re</v>
      </c>
      <c r="D4" s="305" t="str">
        <f>Trend</f>
        <v>se</v>
      </c>
      <c r="E4" s="305"/>
      <c r="F4" s="305"/>
      <c r="G4" s="305"/>
      <c r="H4" s="306"/>
      <c r="I4" s="307" t="str">
        <f t="shared" si="0"/>
        <v>resen</v>
      </c>
      <c r="J4" s="288" t="str">
        <f t="shared" si="1"/>
        <v>resen</v>
      </c>
      <c r="K4" s="283" t="s">
        <v>1065</v>
      </c>
      <c r="L4" s="283"/>
      <c r="M4" s="283"/>
    </row>
    <row r="5" spans="2:13" s="276" customFormat="1" ht="21" customHeight="1">
      <c r="B5" s="290" t="str">
        <f>IFERROR("0."&amp;VLOOKUP(C5,Radicals!$T$3:$U$103,2,FALSE)&amp;IFERROR(VLOOKUP(D5,Radicals!$T$3:$U$103,2,FALSE),"")&amp;IFERROR(VLOOKUP(E5,Radicals!$T$3:$U100,2,FALSE),"")&amp;IFERROR(VLOOKUP(F5,Radicals!$T$3:$U$103,2,FALSE),"")&amp;IFERROR(VLOOKUP(G5,Radicals!$T$3:$U$103,2,FALSE),""),"")</f>
        <v>0.099247</v>
      </c>
      <c r="C5" s="305" t="str">
        <f>Action</f>
        <v>re</v>
      </c>
      <c r="D5" s="305" t="str">
        <f>Trend</f>
        <v>se</v>
      </c>
      <c r="E5" s="305" t="str">
        <f>Inside</f>
        <v>no</v>
      </c>
      <c r="F5" s="305"/>
      <c r="G5" s="305"/>
      <c r="H5" s="306"/>
      <c r="I5" s="307" t="str">
        <f t="shared" si="0"/>
        <v>resenon</v>
      </c>
      <c r="J5" s="288" t="str">
        <f t="shared" si="1"/>
        <v>resenon</v>
      </c>
      <c r="K5" s="283" t="s">
        <v>1066</v>
      </c>
      <c r="L5" s="283" t="s">
        <v>1062</v>
      </c>
      <c r="M5" s="283" t="s">
        <v>1067</v>
      </c>
    </row>
    <row r="6" spans="2:13" s="276" customFormat="1" ht="21" customHeight="1">
      <c r="B6" s="290" t="str">
        <f>IFERROR("0."&amp;VLOOKUP(C6,Radicals!$T$3:$U$103,2,FALSE)&amp;IFERROR(VLOOKUP(D6,Radicals!$T$3:$U$103,2,FALSE),"")&amp;IFERROR(VLOOKUP(E6,Radicals!$T$3:$U101,2,FALSE),"")&amp;IFERROR(VLOOKUP(F6,Radicals!$T$3:$U$103,2,FALSE),"")&amp;IFERROR(VLOOKUP(G6,Radicals!$T$3:$U$103,2,FALSE),""),"")</f>
        <v>0.99</v>
      </c>
      <c r="C6" s="305" t="str">
        <f t="shared" ref="C6:C12" si="2">Manner</f>
        <v>ve</v>
      </c>
      <c r="D6" s="305"/>
      <c r="E6" s="305"/>
      <c r="F6" s="305"/>
      <c r="G6" s="305"/>
      <c r="H6" s="306"/>
      <c r="I6" s="307" t="str">
        <f t="shared" si="0"/>
        <v>ven</v>
      </c>
      <c r="J6" s="288" t="str">
        <f t="shared" si="1"/>
        <v>ven</v>
      </c>
      <c r="K6" s="283" t="s">
        <v>1055</v>
      </c>
      <c r="L6" s="283"/>
      <c r="M6" s="283"/>
    </row>
    <row r="7" spans="2:13" s="276" customFormat="1" ht="21" customHeight="1">
      <c r="B7" s="290" t="str">
        <f>IFERROR("0."&amp;VLOOKUP(C7,Radicals!$T$3:$U$103,2,FALSE)&amp;IFERROR(VLOOKUP(D7,Radicals!$T$3:$U$103,2,FALSE),"")&amp;IFERROR(VLOOKUP(E7,Radicals!$T$3:$U102,2,FALSE),"")&amp;IFERROR(VLOOKUP(F7,Radicals!$T$3:$U$103,2,FALSE),"")&amp;IFERROR(VLOOKUP(G7,Radicals!$T$3:$U$103,2,FALSE),""),"")</f>
        <v>0.9992</v>
      </c>
      <c r="C7" s="305" t="str">
        <f t="shared" si="2"/>
        <v>ve</v>
      </c>
      <c r="D7" s="305" t="str">
        <f t="shared" ref="D7:D12" si="3">Trend</f>
        <v>se</v>
      </c>
      <c r="E7" s="305"/>
      <c r="F7" s="305"/>
      <c r="G7" s="305"/>
      <c r="H7" s="306"/>
      <c r="I7" s="307" t="str">
        <f t="shared" si="0"/>
        <v>vesen</v>
      </c>
      <c r="J7" s="288" t="str">
        <f t="shared" si="1"/>
        <v>vesen</v>
      </c>
      <c r="K7" s="283" t="s">
        <v>1064</v>
      </c>
      <c r="L7" s="283"/>
      <c r="M7" s="283"/>
    </row>
    <row r="8" spans="2:13" s="276" customFormat="1" ht="21" customHeight="1">
      <c r="B8" s="290" t="str">
        <f>IFERROR("0."&amp;VLOOKUP(C8,Radicals!$T$3:$U$103,2,FALSE)&amp;IFERROR(VLOOKUP(D8,Radicals!$T$3:$U$103,2,FALSE),"")&amp;IFERROR(VLOOKUP(E8,Radicals!$T$3:$U103,2,FALSE),"")&amp;IFERROR(VLOOKUP(F8,Radicals!$T$3:$U$103,2,FALSE),"")&amp;IFERROR(VLOOKUP(G8,Radicals!$T$3:$U$103,2,FALSE),""),"")</f>
        <v>0.999212</v>
      </c>
      <c r="C8" s="305" t="str">
        <f t="shared" si="2"/>
        <v>ve</v>
      </c>
      <c r="D8" s="305" t="str">
        <f t="shared" si="3"/>
        <v>se</v>
      </c>
      <c r="E8" s="305" t="str">
        <f>Belong</f>
        <v>te</v>
      </c>
      <c r="F8" s="305"/>
      <c r="G8" s="305"/>
      <c r="H8" s="306"/>
      <c r="I8" s="307" t="str">
        <f>J8</f>
        <v>veseten</v>
      </c>
      <c r="J8" s="288" t="str">
        <f t="shared" si="1"/>
        <v>veseten</v>
      </c>
      <c r="K8" s="283" t="s">
        <v>1075</v>
      </c>
      <c r="L8" s="283"/>
      <c r="M8" s="283"/>
    </row>
    <row r="9" spans="2:13" s="276" customFormat="1" ht="21" customHeight="1">
      <c r="B9" s="290" t="str">
        <f>IFERROR("0."&amp;VLOOKUP(C9,Radicals!$T$3:$U$103,2,FALSE)&amp;IFERROR(VLOOKUP(D9,Radicals!$T$3:$U$103,2,FALSE),"")&amp;IFERROR(VLOOKUP(E9,Radicals!$T$3:$U104,2,FALSE),"")&amp;IFERROR(VLOOKUP(F9,Radicals!$T$3:$U$103,2,FALSE),"")&amp;IFERROR(VLOOKUP(G9,Radicals!$T$3:$U$103,2,FALSE),""),"")</f>
        <v>0.99921222</v>
      </c>
      <c r="C9" s="305" t="str">
        <f t="shared" si="2"/>
        <v>ve</v>
      </c>
      <c r="D9" s="305" t="str">
        <f t="shared" si="3"/>
        <v>se</v>
      </c>
      <c r="E9" s="305" t="str">
        <f>Belong</f>
        <v>te</v>
      </c>
      <c r="F9" s="305" t="str">
        <f>Information</f>
        <v>pe</v>
      </c>
      <c r="G9" s="305"/>
      <c r="H9" s="306"/>
      <c r="I9" s="307" t="str">
        <f t="shared" si="0"/>
        <v>vesetepen</v>
      </c>
      <c r="J9" s="288" t="str">
        <f t="shared" si="1"/>
        <v>vesetepen</v>
      </c>
      <c r="K9" s="283" t="s">
        <v>1068</v>
      </c>
      <c r="L9" s="283" t="s">
        <v>1062</v>
      </c>
      <c r="M9" s="283" t="s">
        <v>1061</v>
      </c>
    </row>
    <row r="10" spans="2:13" s="276" customFormat="1" ht="21" customHeight="1">
      <c r="B10" s="290" t="str">
        <f>IFERROR("0."&amp;VLOOKUP(C10,Radicals!$T$3:$U$103,2,FALSE)&amp;IFERROR(VLOOKUP(D10,Radicals!$T$3:$U$103,2,FALSE),"")&amp;IFERROR(VLOOKUP(E10,Radicals!$T$3:$U105,2,FALSE),"")&amp;IFERROR(VLOOKUP(F10,Radicals!$T$3:$U$103,2,FALSE),"")&amp;IFERROR(VLOOKUP(G10,Radicals!$T$3:$U$103,2,FALSE),""),"")</f>
        <v>0.9992122261</v>
      </c>
      <c r="C10" s="305" t="str">
        <f t="shared" si="2"/>
        <v>ve</v>
      </c>
      <c r="D10" s="305" t="str">
        <f t="shared" si="3"/>
        <v>se</v>
      </c>
      <c r="E10" s="305" t="str">
        <f>Belong</f>
        <v>te</v>
      </c>
      <c r="F10" s="305" t="str">
        <f>Information</f>
        <v>pe</v>
      </c>
      <c r="G10" s="305" t="str">
        <f>Body</f>
        <v>ci</v>
      </c>
      <c r="H10" s="306"/>
      <c r="I10" s="307" t="str">
        <f t="shared" si="0"/>
        <v>vesetepecin</v>
      </c>
      <c r="J10" s="288" t="str">
        <f t="shared" si="1"/>
        <v>vesetepecin</v>
      </c>
      <c r="K10" s="283" t="s">
        <v>1070</v>
      </c>
      <c r="L10" s="283" t="s">
        <v>1062</v>
      </c>
      <c r="M10" s="283" t="s">
        <v>1058</v>
      </c>
    </row>
    <row r="11" spans="2:13" s="276" customFormat="1" ht="21" customHeight="1">
      <c r="B11" s="290" t="str">
        <f>IFERROR("0."&amp;VLOOKUP(C11,Radicals!$T$3:$U$103,2,FALSE)&amp;IFERROR(VLOOKUP(D11,Radicals!$T$3:$U$103,2,FALSE),"")&amp;IFERROR(VLOOKUP(E11,Radicals!$T$3:$U107,2,FALSE),"")&amp;IFERROR(VLOOKUP(F11,Radicals!$T$3:$U$103,2,FALSE),"")&amp;IFERROR(VLOOKUP(G11,Radicals!$T$3:$U$103,2,FALSE),""),"")</f>
        <v>0.9992122267</v>
      </c>
      <c r="C11" s="305" t="str">
        <f t="shared" si="2"/>
        <v>ve</v>
      </c>
      <c r="D11" s="305" t="str">
        <f t="shared" si="3"/>
        <v>se</v>
      </c>
      <c r="E11" s="305" t="str">
        <f>Belong</f>
        <v>te</v>
      </c>
      <c r="F11" s="305" t="str">
        <f>Information</f>
        <v>pe</v>
      </c>
      <c r="G11" s="305" t="str">
        <f>Heart</f>
        <v>co</v>
      </c>
      <c r="H11" s="306"/>
      <c r="I11" s="307" t="str">
        <f>J11</f>
        <v>vesetepecon</v>
      </c>
      <c r="J11" s="288" t="str">
        <f>IF(CONCATENATE(C11,D11,E11,F11,G11,H11)="","",CONCATENATE(C11,D11,E11,F11,G11,H11)&amp;Thing.)</f>
        <v>vesetepecon</v>
      </c>
      <c r="K11" s="283" t="s">
        <v>1069</v>
      </c>
      <c r="L11" s="283" t="s">
        <v>1062</v>
      </c>
      <c r="M11" s="283" t="s">
        <v>1059</v>
      </c>
    </row>
    <row r="12" spans="2:13" s="276" customFormat="1" ht="21" customHeight="1">
      <c r="B12" s="290" t="str">
        <f>IFERROR("0."&amp;VLOOKUP(C12,Radicals!$T$3:$U$103,2,FALSE)&amp;IFERROR(VLOOKUP(D12,Radicals!$T$3:$U$103,2,FALSE),"")&amp;IFERROR(VLOOKUP(E12,Radicals!$T$3:$U106,2,FALSE),"")&amp;IFERROR(VLOOKUP(F12,Radicals!$T$3:$U$103,2,FALSE),"")&amp;IFERROR(VLOOKUP(G12,Radicals!$T$3:$U$103,2,FALSE),""),"")</f>
        <v>0.9992122263</v>
      </c>
      <c r="C12" s="305" t="str">
        <f t="shared" si="2"/>
        <v>ve</v>
      </c>
      <c r="D12" s="305" t="str">
        <f t="shared" si="3"/>
        <v>se</v>
      </c>
      <c r="E12" s="305" t="str">
        <f>Belong</f>
        <v>te</v>
      </c>
      <c r="F12" s="305" t="str">
        <f>Information</f>
        <v>pe</v>
      </c>
      <c r="G12" s="305" t="str">
        <f>Mind</f>
        <v>ca</v>
      </c>
      <c r="H12" s="306"/>
      <c r="I12" s="307" t="str">
        <f t="shared" si="0"/>
        <v>vesetepecan</v>
      </c>
      <c r="J12" s="288" t="str">
        <f t="shared" si="1"/>
        <v>vesetepecan</v>
      </c>
      <c r="K12" s="283" t="s">
        <v>1071</v>
      </c>
      <c r="L12" s="283" t="s">
        <v>1062</v>
      </c>
      <c r="M12" s="283" t="s">
        <v>1013</v>
      </c>
    </row>
    <row r="13" spans="2:13" s="276" customFormat="1" ht="19.5">
      <c r="B13" s="290" t="str">
        <f>IFERROR("0."&amp;VLOOKUP(C13,Radicals!$T$3:$U$103,2,FALSE)&amp;IFERROR(VLOOKUP(D13,Radicals!$T$3:$U$103,2,FALSE),"")&amp;IFERROR(VLOOKUP(E13,Radicals!$T$3:$U108,2,FALSE),"")&amp;IFERROR(VLOOKUP(F13,Radicals!$T$3:$U$103,2,FALSE),"")&amp;IFERROR(VLOOKUP(G13,Radicals!$T$3:$U$103,2,FALSE),""),"")</f>
        <v/>
      </c>
      <c r="C13" s="305"/>
      <c r="D13" s="305"/>
      <c r="E13" s="305"/>
      <c r="F13" s="305"/>
      <c r="G13" s="305"/>
      <c r="H13" s="306"/>
      <c r="I13" s="308"/>
      <c r="J13" s="288" t="str">
        <f t="shared" si="1"/>
        <v/>
      </c>
      <c r="K13" s="283"/>
      <c r="L13" s="283"/>
      <c r="M13" s="283"/>
    </row>
    <row r="14" spans="2:13" s="276" customFormat="1" ht="19.5">
      <c r="B14" s="290" t="str">
        <f>IFERROR("0."&amp;VLOOKUP(C14,Radicals!$T$3:$U$103,2,FALSE)&amp;IFERROR(VLOOKUP(D14,Radicals!$T$3:$U$103,2,FALSE),"")&amp;IFERROR(VLOOKUP(E14,Radicals!$T$3:$U109,2,FALSE),"")&amp;IFERROR(VLOOKUP(F14,Radicals!$T$3:$U$103,2,FALSE),"")&amp;IFERROR(VLOOKUP(G14,Radicals!$T$3:$U$103,2,FALSE),""),"")</f>
        <v>0.02065640</v>
      </c>
      <c r="C14" s="305" t="s">
        <v>937</v>
      </c>
      <c r="D14" s="305" t="s">
        <v>1077</v>
      </c>
      <c r="E14" s="305" t="s">
        <v>1078</v>
      </c>
      <c r="F14" s="305" t="s">
        <v>1079</v>
      </c>
      <c r="G14" s="305"/>
      <c r="H14" s="306"/>
      <c r="I14" s="307" t="str">
        <f t="shared" si="0"/>
        <v>helaramin</v>
      </c>
      <c r="J14" s="288" t="str">
        <f t="shared" si="1"/>
        <v>helaramin</v>
      </c>
      <c r="K14" s="283"/>
      <c r="L14" s="283"/>
      <c r="M14" s="283"/>
    </row>
    <row r="15" spans="2:13">
      <c r="B15" s="290" t="str">
        <f>IFERROR("0."&amp;VLOOKUP(C15,Radicals!$T$3:$U$103,2,FALSE)&amp;IFERROR(VLOOKUP(D15,Radicals!$T$3:$U$103,2,FALSE),"")&amp;IFERROR(VLOOKUP(E15,Radicals!$T$3:$U110,2,FALSE),"")&amp;IFERROR(VLOOKUP(F15,Radicals!$T$3:$U$103,2,FALSE),"")&amp;IFERROR(VLOOKUP(G15,Radicals!$T$3:$U$103,2,FALSE),""),"")</f>
        <v/>
      </c>
      <c r="C15" s="289"/>
      <c r="D15" s="289"/>
      <c r="E15" s="289"/>
      <c r="F15" s="289"/>
      <c r="G15" s="289"/>
      <c r="J15" s="288" t="str">
        <f t="shared" si="1"/>
        <v/>
      </c>
    </row>
    <row r="16" spans="2:13">
      <c r="B16" s="290" t="str">
        <f>IFERROR("0."&amp;VLOOKUP(C16,Radicals!$T$3:$U$103,2,FALSE)&amp;IFERROR(VLOOKUP(D16,Radicals!$T$3:$U$103,2,FALSE),"")&amp;IFERROR(VLOOKUP(E16,Radicals!$T$3:$U111,2,FALSE),"")&amp;IFERROR(VLOOKUP(F16,Radicals!$T$3:$U$103,2,FALSE),"")&amp;IFERROR(VLOOKUP(G16,Radicals!$T$3:$U$103,2,FALSE),""),"")</f>
        <v/>
      </c>
      <c r="C16" s="289"/>
      <c r="D16" s="289"/>
      <c r="E16" s="289"/>
      <c r="F16" s="289"/>
      <c r="G16" s="289"/>
      <c r="J16" s="288" t="str">
        <f t="shared" si="1"/>
        <v/>
      </c>
    </row>
    <row r="17" spans="2:10">
      <c r="B17" s="290" t="str">
        <f>IFERROR("0."&amp;VLOOKUP(C17,Radicals!$T$3:$U$103,2,FALSE)&amp;IFERROR(VLOOKUP(D17,Radicals!$T$3:$U$103,2,FALSE),"")&amp;IFERROR(VLOOKUP(E17,Radicals!$T$3:$U112,2,FALSE),"")&amp;IFERROR(VLOOKUP(F17,Radicals!$T$3:$U$103,2,FALSE),"")&amp;IFERROR(VLOOKUP(G17,Radicals!$T$3:$U$103,2,FALSE),""),"")</f>
        <v/>
      </c>
      <c r="C17" s="289"/>
      <c r="D17" s="289"/>
      <c r="E17" s="289"/>
      <c r="F17" s="289"/>
      <c r="G17" s="289"/>
      <c r="J17" s="288" t="str">
        <f t="shared" si="1"/>
        <v/>
      </c>
    </row>
    <row r="18" spans="2:10">
      <c r="B18" s="290" t="str">
        <f>IFERROR("0."&amp;VLOOKUP(C18,Radicals!$T$3:$U$103,2,FALSE)&amp;IFERROR(VLOOKUP(D18,Radicals!$T$3:$U$103,2,FALSE),"")&amp;IFERROR(VLOOKUP(E18,Radicals!$T$3:$U113,2,FALSE),"")&amp;IFERROR(VLOOKUP(F18,Radicals!$T$3:$U$103,2,FALSE),"")&amp;IFERROR(VLOOKUP(G18,Radicals!$T$3:$U$103,2,FALSE),""),"")</f>
        <v/>
      </c>
      <c r="J18" s="288" t="str">
        <f t="shared" si="1"/>
        <v/>
      </c>
    </row>
    <row r="19" spans="2:10">
      <c r="B19" s="290" t="str">
        <f>IFERROR("0."&amp;VLOOKUP(C19,Radicals!$T$3:$U$103,2,FALSE)&amp;IFERROR(VLOOKUP(D19,Radicals!$T$3:$U$103,2,FALSE),"")&amp;IFERROR(VLOOKUP(E19,Radicals!$T$3:$U114,2,FALSE),"")&amp;IFERROR(VLOOKUP(F19,Radicals!$T$3:$U$103,2,FALSE),"")&amp;IFERROR(VLOOKUP(G19,Radicals!$T$3:$U$103,2,FALSE),""),"")</f>
        <v/>
      </c>
      <c r="J19" s="288" t="str">
        <f t="shared" si="1"/>
        <v/>
      </c>
    </row>
    <row r="20" spans="2:10">
      <c r="B20" s="290" t="str">
        <f>IFERROR("0."&amp;VLOOKUP(C20,Radicals!$T$3:$U$103,2,FALSE)&amp;IFERROR(VLOOKUP(D20,Radicals!$T$3:$U$103,2,FALSE),"")&amp;IFERROR(VLOOKUP(E20,Radicals!$T$3:$U115,2,FALSE),"")&amp;IFERROR(VLOOKUP(F20,Radicals!$T$3:$U$103,2,FALSE),"")&amp;IFERROR(VLOOKUP(G20,Radicals!$T$3:$U$103,2,FALSE),""),"")</f>
        <v/>
      </c>
      <c r="J20" s="288" t="str">
        <f t="shared" si="1"/>
        <v/>
      </c>
    </row>
    <row r="21" spans="2:10">
      <c r="B21" s="290" t="str">
        <f>IFERROR("0."&amp;VLOOKUP(C21,Radicals!$T$3:$U$103,2,FALSE)&amp;IFERROR(VLOOKUP(D21,Radicals!$T$3:$U$103,2,FALSE),"")&amp;IFERROR(VLOOKUP(E21,Radicals!$T$3:$U116,2,FALSE),"")&amp;IFERROR(VLOOKUP(F21,Radicals!$T$3:$U$103,2,FALSE),"")&amp;IFERROR(VLOOKUP(G21,Radicals!$T$3:$U$103,2,FALSE),""),"")</f>
        <v/>
      </c>
      <c r="J21" s="288" t="str">
        <f t="shared" si="1"/>
        <v/>
      </c>
    </row>
    <row r="22" spans="2:10">
      <c r="B22" s="290" t="str">
        <f>IFERROR("0."&amp;VLOOKUP(C22,Radicals!$T$3:$U$103,2,FALSE)&amp;IFERROR(VLOOKUP(D22,Radicals!$T$3:$U$103,2,FALSE),"")&amp;IFERROR(VLOOKUP(E22,Radicals!$T$3:$U117,2,FALSE),"")&amp;IFERROR(VLOOKUP(F22,Radicals!$T$3:$U$103,2,FALSE),"")&amp;IFERROR(VLOOKUP(G22,Radicals!$T$3:$U$103,2,FALSE),""),"")</f>
        <v/>
      </c>
    </row>
    <row r="23" spans="2:10">
      <c r="B23" s="290" t="str">
        <f>IFERROR("0."&amp;VLOOKUP(C23,Radicals!$T$3:$U$103,2,FALSE)&amp;IFERROR(VLOOKUP(D23,Radicals!$T$3:$U$103,2,FALSE),"")&amp;IFERROR(VLOOKUP(E23,Radicals!$T$3:$U118,2,FALSE),"")&amp;IFERROR(VLOOKUP(F23,Radicals!$T$3:$U$103,2,FALSE),"")&amp;IFERROR(VLOOKUP(G23,Radicals!$T$3:$U$103,2,FALSE),""),"")</f>
        <v/>
      </c>
    </row>
    <row r="24" spans="2:10">
      <c r="B24" s="290" t="str">
        <f>IFERROR("0."&amp;VLOOKUP(C24,Radicals!$T$3:$U$103,2,FALSE)&amp;IFERROR(VLOOKUP(D24,Radicals!$T$3:$U$103,2,FALSE),"")&amp;IFERROR(VLOOKUP(E24,Radicals!$T$3:$U119,2,FALSE),"")&amp;IFERROR(VLOOKUP(F24,Radicals!$T$3:$U$103,2,FALSE),"")&amp;IFERROR(VLOOKUP(G24,Radicals!$T$3:$U$103,2,FALSE),""),"")</f>
        <v/>
      </c>
    </row>
  </sheetData>
  <conditionalFormatting sqref="C3:G17">
    <cfRule type="expression" dxfId="0" priority="1" stopIfTrue="1">
      <formula>C3&lt;&gt;""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</sheetPr>
  <dimension ref="A1:U90"/>
  <sheetViews>
    <sheetView showGridLines="0" workbookViewId="0">
      <selection activeCell="G26" sqref="G26"/>
    </sheetView>
  </sheetViews>
  <sheetFormatPr defaultRowHeight="12.75"/>
  <cols>
    <col min="1" max="1" width="4" style="199" customWidth="1"/>
    <col min="2" max="2" width="8.28515625" style="209" customWidth="1"/>
    <col min="3" max="3" width="6.42578125" style="199" customWidth="1"/>
    <col min="4" max="4" width="9.42578125" style="210" bestFit="1" customWidth="1"/>
    <col min="5" max="5" width="10" style="192" customWidth="1"/>
    <col min="6" max="6" width="9.5703125" style="197" customWidth="1"/>
    <col min="7" max="7" width="10.5703125" style="192" bestFit="1" customWidth="1"/>
    <col min="8" max="8" width="8.28515625" style="197" customWidth="1"/>
    <col min="9" max="9" width="11.42578125" style="192" customWidth="1"/>
    <col min="10" max="10" width="9" style="197" bestFit="1" customWidth="1"/>
    <col min="11" max="11" width="9.140625" style="192"/>
    <col min="12" max="12" width="9" style="197" bestFit="1" customWidth="1"/>
    <col min="13" max="13" width="9.5703125" style="192" customWidth="1"/>
    <col min="14" max="14" width="7.28515625" style="197" customWidth="1"/>
    <col min="15" max="15" width="9.140625" style="192"/>
    <col min="16" max="16" width="7.28515625" style="197" bestFit="1" customWidth="1"/>
    <col min="17" max="17" width="9.140625" style="192"/>
    <col min="18" max="18" width="8.42578125" style="197" bestFit="1" customWidth="1"/>
    <col min="19" max="19" width="15.140625" style="192" bestFit="1" customWidth="1"/>
    <col min="20" max="16384" width="9.140625" style="199"/>
  </cols>
  <sheetData>
    <row r="1" spans="1:21">
      <c r="B1" s="196"/>
      <c r="C1" s="192"/>
      <c r="D1" s="197"/>
      <c r="T1" s="198"/>
      <c r="U1" s="192"/>
    </row>
    <row r="2" spans="1:21">
      <c r="B2" s="196"/>
      <c r="C2" s="192"/>
      <c r="D2" s="197"/>
      <c r="T2" s="198"/>
      <c r="U2" s="192"/>
    </row>
    <row r="3" spans="1:21">
      <c r="B3" s="196"/>
      <c r="C3" s="192"/>
      <c r="D3" s="197"/>
      <c r="T3" s="198"/>
      <c r="U3" s="192"/>
    </row>
    <row r="4" spans="1:21" ht="18">
      <c r="A4" s="192">
        <f>COUNTA(D7:D14,F7:F14,H7:H14,J7:J14,L7:L14,N7:N14,P7:P14,R7:R14)</f>
        <v>64</v>
      </c>
      <c r="B4" s="200" t="s">
        <v>446</v>
      </c>
      <c r="C4" s="201"/>
      <c r="D4" s="197"/>
      <c r="T4" s="198"/>
      <c r="U4" s="192"/>
    </row>
    <row r="5" spans="1:21" s="203" customFormat="1" ht="18.75" customHeight="1">
      <c r="B5" s="361"/>
      <c r="C5" s="362" t="s">
        <v>783</v>
      </c>
      <c r="D5" s="362" t="s">
        <v>498</v>
      </c>
      <c r="E5" s="362"/>
      <c r="F5" s="372" t="s">
        <v>781</v>
      </c>
      <c r="G5" s="372"/>
      <c r="H5" s="372" t="s">
        <v>463</v>
      </c>
      <c r="I5" s="372"/>
      <c r="J5" s="372" t="s">
        <v>360</v>
      </c>
      <c r="K5" s="372"/>
      <c r="L5" s="366" t="s">
        <v>365</v>
      </c>
      <c r="M5" s="366"/>
      <c r="N5" s="366" t="s">
        <v>464</v>
      </c>
      <c r="O5" s="366"/>
      <c r="P5" s="366" t="s">
        <v>782</v>
      </c>
      <c r="Q5" s="366"/>
      <c r="R5" s="366" t="s">
        <v>465</v>
      </c>
      <c r="S5" s="367"/>
    </row>
    <row r="6" spans="1:21">
      <c r="B6" s="363" t="s">
        <v>783</v>
      </c>
      <c r="C6" s="354"/>
      <c r="D6" s="355" t="str">
        <f>Show</f>
        <v>mi</v>
      </c>
      <c r="E6" s="245" t="s">
        <v>44</v>
      </c>
      <c r="F6" s="355" t="str">
        <f>Show&amp;Me</f>
        <v>mina</v>
      </c>
      <c r="G6" s="245" t="s">
        <v>45</v>
      </c>
      <c r="H6" s="355" t="str">
        <f>Existence</f>
        <v>di</v>
      </c>
      <c r="I6" s="245" t="s">
        <v>46</v>
      </c>
      <c r="J6" s="355" t="str">
        <f>Question</f>
        <v>xi</v>
      </c>
      <c r="K6" s="245" t="s">
        <v>57</v>
      </c>
      <c r="L6" s="355" t="str">
        <f>Connection</f>
        <v>mo</v>
      </c>
      <c r="M6" s="245" t="s">
        <v>42</v>
      </c>
      <c r="N6" s="355" t="str">
        <f>Whole</f>
        <v>wi</v>
      </c>
      <c r="O6" s="245" t="s">
        <v>47</v>
      </c>
      <c r="P6" s="355" t="str">
        <f>Neutrality</f>
        <v>ji</v>
      </c>
      <c r="Q6" s="245" t="s">
        <v>48</v>
      </c>
      <c r="R6" s="355" t="str">
        <f>Negation</f>
        <v>po</v>
      </c>
      <c r="S6" s="356" t="s">
        <v>49</v>
      </c>
      <c r="T6" s="198"/>
      <c r="U6" s="192"/>
    </row>
    <row r="7" spans="1:21">
      <c r="B7" s="364" t="s">
        <v>461</v>
      </c>
      <c r="C7" s="357" t="str">
        <f>Thing&amp;JOKER.</f>
        <v>neh</v>
      </c>
      <c r="D7" s="195" t="str">
        <f t="shared" ref="D7:D14" si="0">D$6&amp;$C7</f>
        <v>mineh</v>
      </c>
      <c r="E7" s="192" t="s">
        <v>41</v>
      </c>
      <c r="F7" s="195" t="str">
        <f>Show&amp;Me&amp;Thing&amp;JOKER.</f>
        <v>minaneh</v>
      </c>
      <c r="G7" s="192" t="s">
        <v>40</v>
      </c>
      <c r="H7" s="195" t="str">
        <f t="shared" ref="H7:H13" si="1">H$6&amp;$C7</f>
        <v>dineh</v>
      </c>
      <c r="I7" s="192" t="s">
        <v>43</v>
      </c>
      <c r="J7" s="195" t="str">
        <f t="shared" ref="J7:J13" si="2">J$6&amp;$C7</f>
        <v>xineh</v>
      </c>
      <c r="K7" s="192" t="s">
        <v>58</v>
      </c>
      <c r="L7" s="195" t="str">
        <f t="shared" ref="L7:L13" si="3">L$6&amp;$C7</f>
        <v>moneh</v>
      </c>
      <c r="M7" s="192" t="s">
        <v>42</v>
      </c>
      <c r="N7" s="195" t="str">
        <f t="shared" ref="N7:N13" si="4">N$6&amp;$C7</f>
        <v>wineh</v>
      </c>
      <c r="O7" s="192" t="s">
        <v>50</v>
      </c>
      <c r="P7" s="195" t="str">
        <f t="shared" ref="P7:P13" si="5">P$6&amp;$C7</f>
        <v>jineh</v>
      </c>
      <c r="Q7" s="192" t="s">
        <v>51</v>
      </c>
      <c r="R7" s="195" t="str">
        <f t="shared" ref="R7:R13" si="6">R$6&amp;$C7</f>
        <v>poneh</v>
      </c>
      <c r="S7" s="358" t="s">
        <v>52</v>
      </c>
      <c r="T7" s="198"/>
      <c r="U7" s="192"/>
    </row>
    <row r="8" spans="1:21">
      <c r="B8" s="364" t="s">
        <v>462</v>
      </c>
      <c r="C8" s="357" t="str">
        <f>Space</f>
        <v>la</v>
      </c>
      <c r="D8" s="195" t="str">
        <f t="shared" si="0"/>
        <v>mila</v>
      </c>
      <c r="E8" s="192" t="s">
        <v>54</v>
      </c>
      <c r="F8" s="195" t="str">
        <f>Show&amp;Me&amp;Space</f>
        <v>minala</v>
      </c>
      <c r="G8" s="192" t="s">
        <v>53</v>
      </c>
      <c r="H8" s="195" t="str">
        <f t="shared" si="1"/>
        <v>dila</v>
      </c>
      <c r="I8" s="192" t="s">
        <v>55</v>
      </c>
      <c r="J8" s="195" t="str">
        <f t="shared" si="2"/>
        <v>xila</v>
      </c>
      <c r="K8" s="192" t="s">
        <v>56</v>
      </c>
      <c r="L8" s="195" t="str">
        <f t="shared" si="3"/>
        <v>mola</v>
      </c>
      <c r="M8" s="192" t="s">
        <v>59</v>
      </c>
      <c r="N8" s="195" t="str">
        <f t="shared" si="4"/>
        <v>wila</v>
      </c>
      <c r="O8" s="192" t="s">
        <v>60</v>
      </c>
      <c r="P8" s="195" t="str">
        <f t="shared" si="5"/>
        <v>jila</v>
      </c>
      <c r="Q8" s="192" t="s">
        <v>61</v>
      </c>
      <c r="R8" s="195" t="str">
        <f t="shared" si="6"/>
        <v>pola</v>
      </c>
      <c r="S8" s="358" t="s">
        <v>62</v>
      </c>
      <c r="T8" s="198"/>
      <c r="U8" s="192"/>
    </row>
    <row r="9" spans="1:21">
      <c r="B9" s="364" t="s">
        <v>240</v>
      </c>
      <c r="C9" s="357" t="str">
        <f>Time&amp;JOKER.</f>
        <v>leh</v>
      </c>
      <c r="D9" s="195" t="str">
        <f t="shared" si="0"/>
        <v>mileh</v>
      </c>
      <c r="E9" s="192" t="s">
        <v>69</v>
      </c>
      <c r="F9" s="195" t="str">
        <f>Show&amp;Me&amp;Time&amp;JOKER.</f>
        <v>minaleh</v>
      </c>
      <c r="G9" s="192" t="s">
        <v>111</v>
      </c>
      <c r="H9" s="195" t="str">
        <f t="shared" si="1"/>
        <v>dileh</v>
      </c>
      <c r="I9" s="192" t="s">
        <v>68</v>
      </c>
      <c r="J9" s="195" t="str">
        <f t="shared" si="2"/>
        <v>xileh</v>
      </c>
      <c r="K9" s="192" t="s">
        <v>63</v>
      </c>
      <c r="L9" s="195" t="str">
        <f t="shared" si="3"/>
        <v>moleh</v>
      </c>
      <c r="M9" s="192" t="s">
        <v>64</v>
      </c>
      <c r="N9" s="195" t="str">
        <f t="shared" si="4"/>
        <v>wileh</v>
      </c>
      <c r="O9" s="192" t="s">
        <v>65</v>
      </c>
      <c r="P9" s="195" t="str">
        <f t="shared" si="5"/>
        <v>jileh</v>
      </c>
      <c r="Q9" s="192" t="s">
        <v>66</v>
      </c>
      <c r="R9" s="195" t="str">
        <f t="shared" si="6"/>
        <v>poleh</v>
      </c>
      <c r="S9" s="358" t="s">
        <v>67</v>
      </c>
      <c r="T9" s="198"/>
      <c r="U9" s="192"/>
    </row>
    <row r="10" spans="1:21">
      <c r="B10" s="364" t="s">
        <v>470</v>
      </c>
      <c r="C10" s="357" t="str">
        <f>Manner.</f>
        <v>v</v>
      </c>
      <c r="D10" s="195" t="str">
        <f t="shared" si="0"/>
        <v>miv</v>
      </c>
      <c r="E10" s="192" t="s">
        <v>83</v>
      </c>
      <c r="F10" s="195" t="str">
        <f>Show&amp;Me&amp;Manner</f>
        <v>minave</v>
      </c>
      <c r="G10" s="192" t="s">
        <v>82</v>
      </c>
      <c r="H10" s="195" t="str">
        <f>H$6&amp;$C10</f>
        <v>div</v>
      </c>
      <c r="I10" s="192" t="s">
        <v>81</v>
      </c>
      <c r="J10" s="195" t="str">
        <f>J$6&amp;$C10</f>
        <v>xiv</v>
      </c>
      <c r="K10" s="192" t="s">
        <v>98</v>
      </c>
      <c r="L10" s="195" t="str">
        <f>L$6&amp;$C10</f>
        <v>mov</v>
      </c>
      <c r="M10" s="192" t="s">
        <v>99</v>
      </c>
      <c r="N10" s="195" t="str">
        <f>N$6&amp;$C10</f>
        <v>wiv</v>
      </c>
      <c r="O10" s="192" t="s">
        <v>100</v>
      </c>
      <c r="P10" s="195" t="str">
        <f>P$6&amp;$C10</f>
        <v>jiv</v>
      </c>
      <c r="Q10" s="192" t="s">
        <v>101</v>
      </c>
      <c r="R10" s="195" t="str">
        <f>R$6&amp;$C10</f>
        <v>pov</v>
      </c>
      <c r="S10" s="358" t="s">
        <v>102</v>
      </c>
      <c r="T10" s="198"/>
      <c r="U10" s="192"/>
    </row>
    <row r="11" spans="1:21">
      <c r="B11" s="364" t="s">
        <v>467</v>
      </c>
      <c r="C11" s="357" t="str">
        <f>Human</f>
        <v>zu</v>
      </c>
      <c r="D11" s="195" t="str">
        <f t="shared" si="0"/>
        <v>mizu</v>
      </c>
      <c r="E11" s="192" t="s">
        <v>70</v>
      </c>
      <c r="F11" s="195" t="str">
        <f>Show&amp;Me&amp;Human</f>
        <v>minazu</v>
      </c>
      <c r="G11" s="192" t="s">
        <v>466</v>
      </c>
      <c r="H11" s="195" t="str">
        <f t="shared" si="1"/>
        <v>dizu</v>
      </c>
      <c r="I11" s="192" t="s">
        <v>71</v>
      </c>
      <c r="J11" s="195" t="str">
        <f t="shared" si="2"/>
        <v>xizu</v>
      </c>
      <c r="K11" s="192" t="s">
        <v>72</v>
      </c>
      <c r="L11" s="195" t="str">
        <f t="shared" si="3"/>
        <v>mozu</v>
      </c>
      <c r="M11" s="192" t="s">
        <v>73</v>
      </c>
      <c r="N11" s="195" t="str">
        <f t="shared" si="4"/>
        <v>wizu</v>
      </c>
      <c r="O11" s="192" t="s">
        <v>74</v>
      </c>
      <c r="P11" s="195" t="str">
        <f t="shared" si="5"/>
        <v>jizu</v>
      </c>
      <c r="Q11" s="192" t="s">
        <v>75</v>
      </c>
      <c r="R11" s="195" t="str">
        <f t="shared" si="6"/>
        <v>pozu</v>
      </c>
      <c r="S11" s="358" t="s">
        <v>76</v>
      </c>
      <c r="T11" s="198"/>
      <c r="U11" s="192"/>
    </row>
    <row r="12" spans="1:21" s="192" customFormat="1">
      <c r="B12" s="364" t="s">
        <v>471</v>
      </c>
      <c r="C12" s="357" t="str">
        <f>Human&amp;Belong.</f>
        <v>zut</v>
      </c>
      <c r="D12" s="195" t="str">
        <f t="shared" si="0"/>
        <v>mizut</v>
      </c>
      <c r="E12" s="192" t="s">
        <v>88</v>
      </c>
      <c r="F12" s="195" t="str">
        <f>F$6&amp;$C12</f>
        <v>minazut</v>
      </c>
      <c r="G12" s="192" t="s">
        <v>472</v>
      </c>
      <c r="H12" s="195" t="str">
        <f>H$6&amp;$C12</f>
        <v>dizut</v>
      </c>
      <c r="I12" s="192" t="s">
        <v>473</v>
      </c>
      <c r="J12" s="195" t="str">
        <f>J$6&amp;$C12</f>
        <v>xizut</v>
      </c>
      <c r="K12" s="192" t="s">
        <v>474</v>
      </c>
      <c r="L12" s="195" t="str">
        <f>L$6&amp;$C12</f>
        <v>mozut</v>
      </c>
      <c r="M12" s="192" t="s">
        <v>475</v>
      </c>
      <c r="N12" s="195" t="str">
        <f>N$6&amp;$C12</f>
        <v>wizut</v>
      </c>
      <c r="O12" s="192" t="s">
        <v>476</v>
      </c>
      <c r="P12" s="195" t="str">
        <f>P$6&amp;$C12</f>
        <v>jizut</v>
      </c>
      <c r="Q12" s="192" t="s">
        <v>477</v>
      </c>
      <c r="R12" s="195" t="str">
        <f>R$6&amp;$C12</f>
        <v>pozut</v>
      </c>
      <c r="S12" s="358" t="s">
        <v>478</v>
      </c>
      <c r="T12" s="198"/>
    </row>
    <row r="13" spans="1:21">
      <c r="B13" s="364" t="s">
        <v>469</v>
      </c>
      <c r="C13" s="357" t="str">
        <f>Origin&amp;Action&amp;JOKER.</f>
        <v>tureh</v>
      </c>
      <c r="D13" s="195" t="str">
        <f t="shared" si="0"/>
        <v>mitureh</v>
      </c>
      <c r="E13" s="192" t="s">
        <v>93</v>
      </c>
      <c r="F13" s="195" t="str">
        <f>Show&amp;Origin&amp;Me&amp;Action</f>
        <v>mitunare</v>
      </c>
      <c r="G13" s="192" t="s">
        <v>93</v>
      </c>
      <c r="H13" s="195" t="str">
        <f t="shared" si="1"/>
        <v>ditureh</v>
      </c>
      <c r="I13" s="192" t="s">
        <v>87</v>
      </c>
      <c r="J13" s="195" t="str">
        <f t="shared" si="2"/>
        <v>xitureh</v>
      </c>
      <c r="K13" s="192" t="s">
        <v>94</v>
      </c>
      <c r="L13" s="195" t="str">
        <f t="shared" si="3"/>
        <v>motureh</v>
      </c>
      <c r="M13" s="192" t="s">
        <v>80</v>
      </c>
      <c r="N13" s="195" t="str">
        <f t="shared" si="4"/>
        <v>witureh</v>
      </c>
      <c r="O13" s="192" t="s">
        <v>95</v>
      </c>
      <c r="P13" s="195" t="str">
        <f t="shared" si="5"/>
        <v>jitureh</v>
      </c>
      <c r="Q13" s="192" t="s">
        <v>96</v>
      </c>
      <c r="R13" s="195" t="str">
        <f t="shared" si="6"/>
        <v>potureh</v>
      </c>
      <c r="S13" s="358" t="s">
        <v>97</v>
      </c>
      <c r="T13" s="198"/>
      <c r="U13" s="192"/>
    </row>
    <row r="14" spans="1:21" s="206" customFormat="1">
      <c r="B14" s="365" t="s">
        <v>468</v>
      </c>
      <c r="C14" s="359" t="str">
        <f>Will&amp;JOKER.</f>
        <v>zeh</v>
      </c>
      <c r="D14" s="241" t="str">
        <f t="shared" si="0"/>
        <v>mizeh</v>
      </c>
      <c r="E14" s="248" t="s">
        <v>77</v>
      </c>
      <c r="F14" s="241" t="str">
        <f>Show&amp;Me&amp;Will&amp;JOKER.</f>
        <v>minazeh</v>
      </c>
      <c r="G14" s="248" t="s">
        <v>77</v>
      </c>
      <c r="H14" s="241" t="str">
        <f>H$6&amp;$C14</f>
        <v>dizeh</v>
      </c>
      <c r="I14" s="248" t="s">
        <v>78</v>
      </c>
      <c r="J14" s="241" t="str">
        <f>J$6&amp;$C14</f>
        <v>xizeh</v>
      </c>
      <c r="K14" s="248" t="s">
        <v>79</v>
      </c>
      <c r="L14" s="241" t="str">
        <f>L$6&amp;$C14</f>
        <v>mozeh</v>
      </c>
      <c r="M14" s="248" t="s">
        <v>80</v>
      </c>
      <c r="N14" s="241" t="str">
        <f>N$6&amp;$C14</f>
        <v>wizeh</v>
      </c>
      <c r="O14" s="248" t="s">
        <v>84</v>
      </c>
      <c r="P14" s="241" t="str">
        <f>P$6&amp;$C14</f>
        <v>jizeh</v>
      </c>
      <c r="Q14" s="248" t="s">
        <v>85</v>
      </c>
      <c r="R14" s="241" t="str">
        <f>R$6&amp;$C14</f>
        <v>pozeh</v>
      </c>
      <c r="S14" s="360" t="s">
        <v>86</v>
      </c>
      <c r="T14" s="207"/>
    </row>
    <row r="15" spans="1:21">
      <c r="B15" s="196"/>
      <c r="C15" s="197"/>
      <c r="D15" s="197"/>
      <c r="F15" s="195"/>
      <c r="H15" s="195"/>
      <c r="J15" s="195"/>
      <c r="L15" s="195"/>
      <c r="N15" s="195"/>
      <c r="P15" s="195"/>
      <c r="R15" s="195"/>
      <c r="T15" s="198"/>
      <c r="U15" s="192"/>
    </row>
    <row r="16" spans="1:21">
      <c r="B16" s="196"/>
      <c r="C16" s="197"/>
      <c r="D16" s="197"/>
      <c r="H16" s="208"/>
      <c r="N16" s="195"/>
      <c r="R16" s="195"/>
      <c r="T16" s="198"/>
      <c r="U16" s="192"/>
    </row>
    <row r="17" spans="2:21">
      <c r="B17" s="196"/>
      <c r="C17" s="192"/>
      <c r="D17" s="197"/>
      <c r="H17" s="199"/>
      <c r="T17" s="198"/>
      <c r="U17" s="192"/>
    </row>
    <row r="18" spans="2:21" ht="18">
      <c r="B18" s="200" t="s">
        <v>460</v>
      </c>
      <c r="C18" s="201"/>
      <c r="D18" s="197"/>
      <c r="T18" s="198"/>
      <c r="U18" s="192"/>
    </row>
    <row r="19" spans="2:21">
      <c r="B19" s="196"/>
      <c r="C19" s="192"/>
      <c r="D19" s="197"/>
      <c r="T19" s="198"/>
      <c r="U19" s="192"/>
    </row>
    <row r="20" spans="2:21">
      <c r="B20" s="196"/>
      <c r="D20" s="197"/>
      <c r="T20" s="198"/>
      <c r="U20" s="192"/>
    </row>
    <row r="21" spans="2:21">
      <c r="B21" s="196"/>
      <c r="C21" s="270" t="s">
        <v>991</v>
      </c>
      <c r="D21" s="197" t="str">
        <f>Action&amp;Action.</f>
        <v>rer</v>
      </c>
      <c r="E21" s="192" t="s">
        <v>271</v>
      </c>
      <c r="T21" s="198"/>
      <c r="U21" s="192"/>
    </row>
    <row r="22" spans="2:21">
      <c r="B22" s="196"/>
      <c r="C22" s="270" t="s">
        <v>793</v>
      </c>
      <c r="D22" s="197" t="str">
        <f>Action&amp;Time.</f>
        <v>rel</v>
      </c>
      <c r="E22" s="192" t="s">
        <v>229</v>
      </c>
      <c r="T22" s="198"/>
      <c r="U22" s="192"/>
    </row>
    <row r="23" spans="2:21">
      <c r="B23" s="196"/>
      <c r="C23" s="270" t="s">
        <v>988</v>
      </c>
      <c r="D23" s="197" t="str">
        <f>Action&amp;Past.</f>
        <v>rec</v>
      </c>
      <c r="E23" s="192" t="s">
        <v>230</v>
      </c>
      <c r="T23" s="198"/>
      <c r="U23" s="192"/>
    </row>
    <row r="24" spans="2:21">
      <c r="B24" s="196"/>
      <c r="C24" s="270" t="s">
        <v>987</v>
      </c>
      <c r="D24" s="197" t="str">
        <f>Action&amp;Trend&amp;Time.</f>
        <v>resel</v>
      </c>
      <c r="E24" s="192" t="s">
        <v>231</v>
      </c>
      <c r="T24" s="198"/>
      <c r="U24" s="192"/>
    </row>
    <row r="25" spans="2:21">
      <c r="B25" s="196"/>
      <c r="C25" s="270" t="s">
        <v>989</v>
      </c>
      <c r="D25" s="197" t="str">
        <f>Action&amp;Time&amp;Condition.</f>
        <v>relex</v>
      </c>
      <c r="E25" s="192" t="s">
        <v>228</v>
      </c>
      <c r="T25" s="198"/>
      <c r="U25" s="192"/>
    </row>
    <row r="26" spans="2:21">
      <c r="B26" s="196"/>
      <c r="C26" s="270" t="s">
        <v>990</v>
      </c>
      <c r="D26" s="197" t="str">
        <f>Action&amp;Will.</f>
        <v>rez</v>
      </c>
      <c r="E26" s="192" t="s">
        <v>227</v>
      </c>
      <c r="T26" s="198"/>
      <c r="U26" s="192"/>
    </row>
    <row r="27" spans="2:21">
      <c r="B27" s="196"/>
      <c r="C27" s="192"/>
      <c r="D27" s="197"/>
      <c r="T27" s="198"/>
      <c r="U27" s="192"/>
    </row>
    <row r="28" spans="2:21">
      <c r="B28" s="196"/>
      <c r="C28" s="192"/>
      <c r="D28" s="197"/>
      <c r="T28" s="198"/>
      <c r="U28" s="192"/>
    </row>
    <row r="29" spans="2:21">
      <c r="B29" s="196"/>
      <c r="C29" s="192"/>
      <c r="D29" s="197"/>
      <c r="T29" s="198"/>
      <c r="U29" s="192"/>
    </row>
    <row r="30" spans="2:21">
      <c r="B30" s="196"/>
      <c r="C30" s="192"/>
      <c r="D30" s="197"/>
      <c r="T30" s="198"/>
      <c r="U30" s="192"/>
    </row>
    <row r="31" spans="2:21">
      <c r="B31" s="202"/>
      <c r="C31" s="203" t="s">
        <v>783</v>
      </c>
      <c r="D31" s="205" t="s">
        <v>461</v>
      </c>
      <c r="E31" s="205" t="s">
        <v>462</v>
      </c>
      <c r="F31" s="205" t="s">
        <v>240</v>
      </c>
      <c r="G31" s="205" t="s">
        <v>470</v>
      </c>
      <c r="H31" s="205" t="s">
        <v>467</v>
      </c>
      <c r="I31" s="205" t="s">
        <v>471</v>
      </c>
      <c r="J31" s="205" t="s">
        <v>469</v>
      </c>
      <c r="K31" s="205" t="s">
        <v>468</v>
      </c>
      <c r="T31" s="198"/>
      <c r="U31" s="192"/>
    </row>
    <row r="32" spans="2:21">
      <c r="B32" s="204" t="s">
        <v>783</v>
      </c>
      <c r="C32" s="197"/>
      <c r="D32" s="194" t="str">
        <f>Thing&amp;JOKER.</f>
        <v>neh</v>
      </c>
      <c r="E32" s="194" t="str">
        <f>Space</f>
        <v>la</v>
      </c>
      <c r="F32" s="194" t="str">
        <f>Time&amp;JOKER.</f>
        <v>leh</v>
      </c>
      <c r="G32" s="194" t="str">
        <f>Manner.</f>
        <v>v</v>
      </c>
      <c r="H32" s="194" t="str">
        <f>Human</f>
        <v>zu</v>
      </c>
      <c r="I32" s="194" t="str">
        <f>Human&amp;Belong.</f>
        <v>zut</v>
      </c>
      <c r="J32" s="194" t="str">
        <f>Origin&amp;Action&amp;JOKER.</f>
        <v>tureh</v>
      </c>
      <c r="K32" s="194" t="str">
        <f>Will&amp;JOKER.</f>
        <v>zeh</v>
      </c>
      <c r="T32" s="198"/>
      <c r="U32" s="192"/>
    </row>
    <row r="33" spans="2:21">
      <c r="B33" s="204" t="s">
        <v>498</v>
      </c>
      <c r="C33" s="194" t="str">
        <f>Show</f>
        <v>mi</v>
      </c>
      <c r="D33" s="195" t="str">
        <f t="shared" ref="D33:K33" si="7">$C33&amp;D$32</f>
        <v>mineh</v>
      </c>
      <c r="E33" s="195" t="str">
        <f t="shared" si="7"/>
        <v>mila</v>
      </c>
      <c r="F33" s="195" t="str">
        <f t="shared" si="7"/>
        <v>mileh</v>
      </c>
      <c r="G33" s="195" t="str">
        <f t="shared" si="7"/>
        <v>miv</v>
      </c>
      <c r="H33" s="195" t="str">
        <f t="shared" si="7"/>
        <v>mizu</v>
      </c>
      <c r="I33" s="195" t="str">
        <f t="shared" si="7"/>
        <v>mizut</v>
      </c>
      <c r="J33" s="195" t="str">
        <f t="shared" si="7"/>
        <v>mitureh</v>
      </c>
      <c r="K33" s="195" t="str">
        <f t="shared" si="7"/>
        <v>mizeh</v>
      </c>
      <c r="T33" s="198"/>
      <c r="U33" s="192"/>
    </row>
    <row r="34" spans="2:21">
      <c r="B34" s="204"/>
      <c r="C34" s="192" t="s">
        <v>44</v>
      </c>
      <c r="D34" s="192" t="s">
        <v>41</v>
      </c>
      <c r="E34" s="192" t="s">
        <v>54</v>
      </c>
      <c r="F34" s="192" t="s">
        <v>69</v>
      </c>
      <c r="G34" s="192" t="s">
        <v>83</v>
      </c>
      <c r="H34" s="192" t="s">
        <v>70</v>
      </c>
      <c r="I34" s="192" t="s">
        <v>88</v>
      </c>
      <c r="J34" s="192" t="s">
        <v>93</v>
      </c>
      <c r="K34" s="192" t="s">
        <v>77</v>
      </c>
      <c r="T34" s="198"/>
      <c r="U34" s="192"/>
    </row>
    <row r="35" spans="2:21">
      <c r="B35" s="204" t="s">
        <v>781</v>
      </c>
      <c r="C35" s="194" t="str">
        <f>Show&amp;Me</f>
        <v>mina</v>
      </c>
      <c r="D35" s="195" t="str">
        <f>Show&amp;Thing&amp;Me</f>
        <v>minena</v>
      </c>
      <c r="E35" s="195" t="str">
        <f>Show&amp;Space&amp;Me</f>
        <v>milana</v>
      </c>
      <c r="F35" s="195" t="str">
        <f>Show&amp;Time&amp;Me</f>
        <v>milena</v>
      </c>
      <c r="G35" s="195" t="str">
        <f>Show&amp;Manner&amp;Me</f>
        <v>mivena</v>
      </c>
      <c r="H35" s="195" t="str">
        <f>Show&amp;Human&amp;Me</f>
        <v>mizuna</v>
      </c>
      <c r="I35" s="195" t="str">
        <f>$C35&amp;I$32</f>
        <v>minazut</v>
      </c>
      <c r="J35" s="195" t="str">
        <f>Show&amp;Origin&amp;Action&amp;Me</f>
        <v>miturena</v>
      </c>
      <c r="K35" s="195" t="str">
        <f>Show&amp;Will&amp;Me</f>
        <v>mizena</v>
      </c>
      <c r="T35" s="198"/>
      <c r="U35" s="192"/>
    </row>
    <row r="36" spans="2:21">
      <c r="B36" s="204"/>
      <c r="C36" s="192" t="s">
        <v>45</v>
      </c>
      <c r="D36" s="192" t="s">
        <v>40</v>
      </c>
      <c r="E36" s="192" t="s">
        <v>53</v>
      </c>
      <c r="F36" s="192" t="s">
        <v>111</v>
      </c>
      <c r="G36" s="192" t="s">
        <v>82</v>
      </c>
      <c r="H36" s="192" t="s">
        <v>466</v>
      </c>
      <c r="I36" s="192" t="s">
        <v>472</v>
      </c>
      <c r="J36" s="192" t="s">
        <v>93</v>
      </c>
      <c r="K36" s="192" t="s">
        <v>77</v>
      </c>
      <c r="T36" s="198"/>
      <c r="U36" s="192"/>
    </row>
    <row r="37" spans="2:21">
      <c r="B37" s="204" t="s">
        <v>463</v>
      </c>
      <c r="C37" s="194" t="str">
        <f>Existence</f>
        <v>di</v>
      </c>
      <c r="D37" s="195" t="str">
        <f t="shared" ref="D37:K37" si="8">$C37&amp;D$32</f>
        <v>dineh</v>
      </c>
      <c r="E37" s="195" t="str">
        <f t="shared" si="8"/>
        <v>dila</v>
      </c>
      <c r="F37" s="195" t="str">
        <f t="shared" si="8"/>
        <v>dileh</v>
      </c>
      <c r="G37" s="195" t="str">
        <f t="shared" si="8"/>
        <v>div</v>
      </c>
      <c r="H37" s="195" t="str">
        <f t="shared" si="8"/>
        <v>dizu</v>
      </c>
      <c r="I37" s="195" t="str">
        <f t="shared" si="8"/>
        <v>dizut</v>
      </c>
      <c r="J37" s="195" t="str">
        <f t="shared" si="8"/>
        <v>ditureh</v>
      </c>
      <c r="K37" s="195" t="str">
        <f t="shared" si="8"/>
        <v>dizeh</v>
      </c>
      <c r="T37" s="198"/>
      <c r="U37" s="192"/>
    </row>
    <row r="38" spans="2:21">
      <c r="B38" s="204"/>
      <c r="C38" s="192" t="s">
        <v>46</v>
      </c>
      <c r="D38" s="192" t="s">
        <v>43</v>
      </c>
      <c r="E38" s="192" t="s">
        <v>55</v>
      </c>
      <c r="F38" s="192" t="s">
        <v>68</v>
      </c>
      <c r="G38" s="192" t="s">
        <v>81</v>
      </c>
      <c r="H38" s="192" t="s">
        <v>71</v>
      </c>
      <c r="I38" s="192" t="s">
        <v>473</v>
      </c>
      <c r="J38" s="192" t="s">
        <v>87</v>
      </c>
      <c r="K38" s="192" t="s">
        <v>78</v>
      </c>
      <c r="T38" s="198"/>
      <c r="U38" s="192"/>
    </row>
    <row r="39" spans="2:21">
      <c r="B39" s="204" t="s">
        <v>360</v>
      </c>
      <c r="C39" s="194" t="str">
        <f>Question</f>
        <v>xi</v>
      </c>
      <c r="D39" s="195" t="str">
        <f t="shared" ref="D39:K39" si="9">$C39&amp;D$32</f>
        <v>xineh</v>
      </c>
      <c r="E39" s="195" t="str">
        <f t="shared" si="9"/>
        <v>xila</v>
      </c>
      <c r="F39" s="195" t="str">
        <f t="shared" si="9"/>
        <v>xileh</v>
      </c>
      <c r="G39" s="195" t="str">
        <f t="shared" si="9"/>
        <v>xiv</v>
      </c>
      <c r="H39" s="195" t="str">
        <f t="shared" si="9"/>
        <v>xizu</v>
      </c>
      <c r="I39" s="195" t="str">
        <f t="shared" si="9"/>
        <v>xizut</v>
      </c>
      <c r="J39" s="195" t="str">
        <f t="shared" si="9"/>
        <v>xitureh</v>
      </c>
      <c r="K39" s="195" t="str">
        <f t="shared" si="9"/>
        <v>xizeh</v>
      </c>
      <c r="T39" s="198"/>
      <c r="U39" s="192"/>
    </row>
    <row r="40" spans="2:21">
      <c r="B40" s="204"/>
      <c r="C40" s="192" t="s">
        <v>57</v>
      </c>
      <c r="D40" s="192" t="s">
        <v>58</v>
      </c>
      <c r="E40" s="192" t="s">
        <v>56</v>
      </c>
      <c r="F40" s="192" t="s">
        <v>63</v>
      </c>
      <c r="G40" s="192" t="s">
        <v>98</v>
      </c>
      <c r="H40" s="192" t="s">
        <v>72</v>
      </c>
      <c r="I40" s="192" t="s">
        <v>474</v>
      </c>
      <c r="J40" s="192" t="s">
        <v>94</v>
      </c>
      <c r="K40" s="192" t="s">
        <v>79</v>
      </c>
      <c r="T40" s="198"/>
      <c r="U40" s="192"/>
    </row>
    <row r="41" spans="2:21">
      <c r="B41" s="204" t="s">
        <v>365</v>
      </c>
      <c r="C41" s="194" t="str">
        <f>Connection</f>
        <v>mo</v>
      </c>
      <c r="D41" s="195" t="str">
        <f t="shared" ref="D41:K41" si="10">$C41&amp;D$32</f>
        <v>moneh</v>
      </c>
      <c r="E41" s="195" t="str">
        <f t="shared" si="10"/>
        <v>mola</v>
      </c>
      <c r="F41" s="195" t="str">
        <f t="shared" si="10"/>
        <v>moleh</v>
      </c>
      <c r="G41" s="195" t="str">
        <f t="shared" si="10"/>
        <v>mov</v>
      </c>
      <c r="H41" s="195" t="str">
        <f t="shared" si="10"/>
        <v>mozu</v>
      </c>
      <c r="I41" s="195" t="str">
        <f t="shared" si="10"/>
        <v>mozut</v>
      </c>
      <c r="J41" s="195" t="str">
        <f t="shared" si="10"/>
        <v>motureh</v>
      </c>
      <c r="K41" s="195" t="str">
        <f t="shared" si="10"/>
        <v>mozeh</v>
      </c>
      <c r="T41" s="198"/>
      <c r="U41" s="192"/>
    </row>
    <row r="42" spans="2:21">
      <c r="B42" s="204"/>
      <c r="C42" s="192" t="s">
        <v>42</v>
      </c>
      <c r="D42" s="192" t="s">
        <v>42</v>
      </c>
      <c r="E42" s="192" t="s">
        <v>59</v>
      </c>
      <c r="F42" s="192" t="s">
        <v>64</v>
      </c>
      <c r="G42" s="192" t="s">
        <v>99</v>
      </c>
      <c r="H42" s="192" t="s">
        <v>73</v>
      </c>
      <c r="I42" s="192" t="s">
        <v>475</v>
      </c>
      <c r="J42" s="192" t="s">
        <v>80</v>
      </c>
      <c r="K42" s="192" t="s">
        <v>80</v>
      </c>
      <c r="T42" s="198"/>
      <c r="U42" s="192"/>
    </row>
    <row r="43" spans="2:21">
      <c r="B43" s="204" t="s">
        <v>464</v>
      </c>
      <c r="C43" s="194" t="str">
        <f>Whole</f>
        <v>wi</v>
      </c>
      <c r="D43" s="195" t="str">
        <f t="shared" ref="D43:K43" si="11">$C43&amp;D$32</f>
        <v>wineh</v>
      </c>
      <c r="E43" s="195" t="str">
        <f t="shared" si="11"/>
        <v>wila</v>
      </c>
      <c r="F43" s="195" t="str">
        <f t="shared" si="11"/>
        <v>wileh</v>
      </c>
      <c r="G43" s="195" t="str">
        <f t="shared" si="11"/>
        <v>wiv</v>
      </c>
      <c r="H43" s="195" t="str">
        <f t="shared" si="11"/>
        <v>wizu</v>
      </c>
      <c r="I43" s="195" t="str">
        <f t="shared" si="11"/>
        <v>wizut</v>
      </c>
      <c r="J43" s="195" t="str">
        <f t="shared" si="11"/>
        <v>witureh</v>
      </c>
      <c r="K43" s="195" t="str">
        <f t="shared" si="11"/>
        <v>wizeh</v>
      </c>
      <c r="T43" s="198"/>
      <c r="U43" s="192"/>
    </row>
    <row r="44" spans="2:21">
      <c r="B44" s="204"/>
      <c r="C44" s="192" t="s">
        <v>47</v>
      </c>
      <c r="D44" s="192" t="s">
        <v>50</v>
      </c>
      <c r="E44" s="192" t="s">
        <v>60</v>
      </c>
      <c r="F44" s="192" t="s">
        <v>65</v>
      </c>
      <c r="G44" s="192" t="s">
        <v>100</v>
      </c>
      <c r="H44" s="192" t="s">
        <v>74</v>
      </c>
      <c r="I44" s="192" t="s">
        <v>476</v>
      </c>
      <c r="J44" s="192" t="s">
        <v>95</v>
      </c>
      <c r="K44" s="192" t="s">
        <v>84</v>
      </c>
      <c r="T44" s="198"/>
      <c r="U44" s="192"/>
    </row>
    <row r="45" spans="2:21">
      <c r="B45" s="204" t="s">
        <v>782</v>
      </c>
      <c r="C45" s="194" t="str">
        <f>Neutrality</f>
        <v>ji</v>
      </c>
      <c r="D45" s="195" t="str">
        <f t="shared" ref="D45:K45" si="12">$C45&amp;D$32</f>
        <v>jineh</v>
      </c>
      <c r="E45" s="195" t="str">
        <f t="shared" si="12"/>
        <v>jila</v>
      </c>
      <c r="F45" s="195" t="str">
        <f t="shared" si="12"/>
        <v>jileh</v>
      </c>
      <c r="G45" s="195" t="str">
        <f t="shared" si="12"/>
        <v>jiv</v>
      </c>
      <c r="H45" s="195" t="str">
        <f t="shared" si="12"/>
        <v>jizu</v>
      </c>
      <c r="I45" s="195" t="str">
        <f t="shared" si="12"/>
        <v>jizut</v>
      </c>
      <c r="J45" s="195" t="str">
        <f t="shared" si="12"/>
        <v>jitureh</v>
      </c>
      <c r="K45" s="195" t="str">
        <f t="shared" si="12"/>
        <v>jizeh</v>
      </c>
      <c r="T45" s="198"/>
      <c r="U45" s="192"/>
    </row>
    <row r="46" spans="2:21">
      <c r="B46" s="204"/>
      <c r="C46" s="192" t="s">
        <v>48</v>
      </c>
      <c r="D46" s="192" t="s">
        <v>51</v>
      </c>
      <c r="E46" s="192" t="s">
        <v>61</v>
      </c>
      <c r="F46" s="192" t="s">
        <v>66</v>
      </c>
      <c r="G46" s="192" t="s">
        <v>101</v>
      </c>
      <c r="H46" s="192" t="s">
        <v>75</v>
      </c>
      <c r="I46" s="192" t="s">
        <v>477</v>
      </c>
      <c r="J46" s="192" t="s">
        <v>96</v>
      </c>
      <c r="K46" s="192" t="s">
        <v>85</v>
      </c>
      <c r="T46" s="198"/>
      <c r="U46" s="192"/>
    </row>
    <row r="47" spans="2:21">
      <c r="B47" s="204" t="s">
        <v>465</v>
      </c>
      <c r="C47" s="194" t="str">
        <f>Negation</f>
        <v>po</v>
      </c>
      <c r="D47" s="195" t="str">
        <f t="shared" ref="D47:K47" si="13">$C47&amp;D$32</f>
        <v>poneh</v>
      </c>
      <c r="E47" s="195" t="str">
        <f t="shared" si="13"/>
        <v>pola</v>
      </c>
      <c r="F47" s="195" t="str">
        <f t="shared" si="13"/>
        <v>poleh</v>
      </c>
      <c r="G47" s="195" t="str">
        <f t="shared" si="13"/>
        <v>pov</v>
      </c>
      <c r="H47" s="195" t="str">
        <f t="shared" si="13"/>
        <v>pozu</v>
      </c>
      <c r="I47" s="195" t="str">
        <f t="shared" si="13"/>
        <v>pozut</v>
      </c>
      <c r="J47" s="195" t="str">
        <f t="shared" si="13"/>
        <v>potureh</v>
      </c>
      <c r="K47" s="195" t="str">
        <f t="shared" si="13"/>
        <v>pozeh</v>
      </c>
      <c r="T47" s="198"/>
      <c r="U47" s="192"/>
    </row>
    <row r="48" spans="2:21">
      <c r="B48" s="203"/>
      <c r="C48" s="192" t="s">
        <v>49</v>
      </c>
      <c r="D48" s="192" t="s">
        <v>52</v>
      </c>
      <c r="E48" s="192" t="s">
        <v>62</v>
      </c>
      <c r="F48" s="192" t="s">
        <v>67</v>
      </c>
      <c r="G48" s="192" t="s">
        <v>102</v>
      </c>
      <c r="H48" s="192" t="s">
        <v>76</v>
      </c>
      <c r="I48" s="192" t="s">
        <v>478</v>
      </c>
      <c r="J48" s="192" t="s">
        <v>97</v>
      </c>
      <c r="K48" s="192" t="s">
        <v>86</v>
      </c>
      <c r="T48" s="198"/>
      <c r="U48" s="192"/>
    </row>
    <row r="49" spans="2:21">
      <c r="B49" s="196"/>
      <c r="C49" s="192"/>
      <c r="D49" s="197"/>
      <c r="T49" s="198"/>
      <c r="U49" s="192"/>
    </row>
    <row r="50" spans="2:21">
      <c r="B50" s="196"/>
      <c r="C50" s="192"/>
      <c r="D50" s="197"/>
      <c r="T50" s="198"/>
      <c r="U50" s="192"/>
    </row>
    <row r="51" spans="2:21">
      <c r="B51" s="196"/>
      <c r="C51" s="192"/>
      <c r="D51" s="197"/>
      <c r="T51" s="198"/>
      <c r="U51" s="192"/>
    </row>
    <row r="52" spans="2:21">
      <c r="B52" s="196"/>
      <c r="C52" s="192"/>
      <c r="D52" s="197"/>
      <c r="T52" s="198"/>
      <c r="U52" s="192"/>
    </row>
    <row r="53" spans="2:21">
      <c r="B53" s="196"/>
      <c r="C53" s="192"/>
      <c r="D53" s="197"/>
      <c r="T53" s="198"/>
      <c r="U53" s="192"/>
    </row>
    <row r="54" spans="2:21">
      <c r="B54" s="196"/>
      <c r="C54" s="192"/>
      <c r="D54" s="197"/>
      <c r="T54" s="198"/>
      <c r="U54" s="192"/>
    </row>
    <row r="55" spans="2:21">
      <c r="B55" s="196"/>
      <c r="C55" s="192"/>
      <c r="D55" s="197"/>
      <c r="T55" s="198"/>
      <c r="U55" s="192"/>
    </row>
    <row r="56" spans="2:21">
      <c r="B56" s="196"/>
      <c r="C56" s="192"/>
      <c r="D56" s="197"/>
      <c r="T56" s="198"/>
      <c r="U56" s="192"/>
    </row>
    <row r="57" spans="2:21">
      <c r="B57" s="196"/>
      <c r="C57" s="192"/>
      <c r="D57" s="197"/>
      <c r="T57" s="198"/>
      <c r="U57" s="192"/>
    </row>
    <row r="58" spans="2:21">
      <c r="B58" s="196"/>
      <c r="C58" s="192"/>
      <c r="D58" s="197"/>
      <c r="T58" s="198"/>
      <c r="U58" s="192"/>
    </row>
    <row r="59" spans="2:21">
      <c r="B59" s="196"/>
      <c r="C59" s="192"/>
      <c r="D59" s="197"/>
      <c r="T59" s="198"/>
      <c r="U59" s="192"/>
    </row>
    <row r="60" spans="2:21">
      <c r="B60" s="196"/>
      <c r="C60" s="192"/>
      <c r="D60" s="197"/>
      <c r="T60" s="198"/>
      <c r="U60" s="192"/>
    </row>
    <row r="61" spans="2:21">
      <c r="B61" s="196"/>
      <c r="C61" s="192"/>
      <c r="D61" s="197"/>
      <c r="T61" s="198"/>
      <c r="U61" s="192"/>
    </row>
    <row r="62" spans="2:21">
      <c r="B62" s="196"/>
      <c r="C62" s="192"/>
      <c r="D62" s="197"/>
      <c r="T62" s="198"/>
      <c r="U62" s="192"/>
    </row>
    <row r="63" spans="2:21">
      <c r="B63" s="196"/>
      <c r="C63" s="192"/>
      <c r="D63" s="197"/>
      <c r="T63" s="198"/>
      <c r="U63" s="192"/>
    </row>
    <row r="64" spans="2:21">
      <c r="B64" s="196"/>
      <c r="C64" s="192"/>
      <c r="D64" s="197"/>
      <c r="T64" s="198"/>
      <c r="U64" s="192"/>
    </row>
    <row r="65" spans="2:21">
      <c r="B65" s="196"/>
      <c r="C65" s="192"/>
      <c r="D65" s="197"/>
      <c r="T65" s="198"/>
      <c r="U65" s="192"/>
    </row>
    <row r="66" spans="2:21">
      <c r="B66" s="196"/>
      <c r="C66" s="192"/>
      <c r="D66" s="197"/>
      <c r="T66" s="198"/>
      <c r="U66" s="192"/>
    </row>
    <row r="67" spans="2:21">
      <c r="B67" s="196"/>
      <c r="C67" s="192"/>
      <c r="D67" s="197"/>
      <c r="T67" s="198"/>
      <c r="U67" s="192"/>
    </row>
    <row r="68" spans="2:21">
      <c r="B68" s="196"/>
      <c r="C68" s="192"/>
      <c r="D68" s="197"/>
      <c r="T68" s="198"/>
      <c r="U68" s="192"/>
    </row>
    <row r="69" spans="2:21">
      <c r="B69" s="196"/>
      <c r="C69" s="192"/>
      <c r="D69" s="197"/>
      <c r="T69" s="198"/>
      <c r="U69" s="192"/>
    </row>
    <row r="70" spans="2:21">
      <c r="B70" s="196"/>
      <c r="C70" s="192"/>
      <c r="D70" s="197"/>
      <c r="T70" s="198"/>
      <c r="U70" s="192"/>
    </row>
    <row r="71" spans="2:21">
      <c r="B71" s="196"/>
      <c r="C71" s="192"/>
      <c r="D71" s="197"/>
      <c r="T71" s="198"/>
      <c r="U71" s="192"/>
    </row>
    <row r="72" spans="2:21">
      <c r="B72" s="196"/>
      <c r="C72" s="192"/>
      <c r="D72" s="197"/>
      <c r="T72" s="198"/>
      <c r="U72" s="192"/>
    </row>
    <row r="73" spans="2:21">
      <c r="B73" s="196"/>
      <c r="C73" s="192"/>
      <c r="D73" s="197"/>
      <c r="T73" s="198"/>
      <c r="U73" s="192"/>
    </row>
    <row r="74" spans="2:21">
      <c r="B74" s="196"/>
      <c r="C74" s="192"/>
      <c r="D74" s="197"/>
      <c r="T74" s="198"/>
      <c r="U74" s="192"/>
    </row>
    <row r="75" spans="2:21">
      <c r="B75" s="196"/>
      <c r="C75" s="192"/>
      <c r="D75" s="197"/>
      <c r="T75" s="198"/>
      <c r="U75" s="192"/>
    </row>
    <row r="76" spans="2:21">
      <c r="B76" s="196"/>
      <c r="C76" s="192"/>
      <c r="D76" s="197"/>
      <c r="T76" s="198"/>
      <c r="U76" s="192"/>
    </row>
    <row r="77" spans="2:21">
      <c r="B77" s="196"/>
      <c r="C77" s="192"/>
      <c r="D77" s="197"/>
      <c r="T77" s="198"/>
      <c r="U77" s="192"/>
    </row>
    <row r="78" spans="2:21">
      <c r="B78" s="196"/>
      <c r="C78" s="192"/>
      <c r="D78" s="197"/>
      <c r="T78" s="198"/>
      <c r="U78" s="192"/>
    </row>
    <row r="79" spans="2:21">
      <c r="B79" s="196"/>
      <c r="C79" s="192"/>
      <c r="D79" s="197"/>
      <c r="T79" s="198"/>
      <c r="U79" s="192"/>
    </row>
    <row r="80" spans="2:21">
      <c r="B80" s="196"/>
      <c r="C80" s="192"/>
      <c r="D80" s="197"/>
      <c r="T80" s="198"/>
      <c r="U80" s="192"/>
    </row>
    <row r="81" spans="2:21">
      <c r="B81" s="196"/>
      <c r="C81" s="192"/>
      <c r="D81" s="197"/>
      <c r="T81" s="198"/>
      <c r="U81" s="192"/>
    </row>
    <row r="82" spans="2:21">
      <c r="B82" s="196"/>
      <c r="C82" s="192"/>
      <c r="D82" s="197"/>
      <c r="T82" s="198"/>
      <c r="U82" s="192"/>
    </row>
    <row r="83" spans="2:21">
      <c r="B83" s="196"/>
      <c r="C83" s="192"/>
      <c r="D83" s="197"/>
      <c r="T83" s="198"/>
      <c r="U83" s="192"/>
    </row>
    <row r="84" spans="2:21">
      <c r="B84" s="196"/>
      <c r="C84" s="192"/>
      <c r="D84" s="197"/>
      <c r="T84" s="198"/>
      <c r="U84" s="192"/>
    </row>
    <row r="85" spans="2:21">
      <c r="B85" s="196"/>
      <c r="C85" s="192"/>
      <c r="D85" s="197"/>
      <c r="T85" s="198"/>
      <c r="U85" s="192"/>
    </row>
    <row r="86" spans="2:21">
      <c r="B86" s="196"/>
      <c r="C86" s="192"/>
      <c r="D86" s="197"/>
      <c r="T86" s="198"/>
      <c r="U86" s="192"/>
    </row>
    <row r="87" spans="2:21">
      <c r="B87" s="196"/>
      <c r="C87" s="192"/>
      <c r="D87" s="197"/>
      <c r="T87" s="198"/>
      <c r="U87" s="192"/>
    </row>
    <row r="88" spans="2:21">
      <c r="B88" s="196"/>
      <c r="C88" s="192"/>
      <c r="D88" s="197"/>
      <c r="T88" s="198"/>
      <c r="U88" s="192"/>
    </row>
    <row r="89" spans="2:21">
      <c r="B89" s="196"/>
      <c r="C89" s="192"/>
      <c r="D89" s="197"/>
      <c r="T89" s="198"/>
      <c r="U89" s="192"/>
    </row>
    <row r="90" spans="2:21">
      <c r="B90" s="196"/>
      <c r="C90" s="192"/>
      <c r="D90" s="197"/>
      <c r="T90" s="198"/>
      <c r="U90" s="192"/>
    </row>
  </sheetData>
  <mergeCells count="3">
    <mergeCell ref="F5:G5"/>
    <mergeCell ref="H5:I5"/>
    <mergeCell ref="J5:K5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</sheetPr>
  <dimension ref="A2:U35"/>
  <sheetViews>
    <sheetView showGridLines="0" workbookViewId="0">
      <selection activeCell="F22" sqref="F22"/>
    </sheetView>
  </sheetViews>
  <sheetFormatPr defaultRowHeight="12.75"/>
  <cols>
    <col min="1" max="1" width="6.28515625" customWidth="1"/>
    <col min="2" max="2" width="3" style="87" bestFit="1" customWidth="1"/>
    <col min="3" max="3" width="6.28515625" bestFit="1" customWidth="1"/>
    <col min="4" max="4" width="3" bestFit="1" customWidth="1"/>
    <col min="5" max="5" width="6.42578125" bestFit="1" customWidth="1"/>
    <col min="6" max="6" width="4" bestFit="1" customWidth="1"/>
    <col min="7" max="7" width="8.28515625" bestFit="1" customWidth="1"/>
    <col min="8" max="8" width="4" bestFit="1" customWidth="1"/>
    <col min="9" max="9" width="10.140625" customWidth="1"/>
    <col min="10" max="10" width="6.7109375" style="170" bestFit="1" customWidth="1"/>
    <col min="11" max="11" width="13" bestFit="1" customWidth="1"/>
    <col min="12" max="12" width="7.7109375" bestFit="1" customWidth="1"/>
    <col min="13" max="13" width="9.85546875" customWidth="1"/>
    <col min="14" max="14" width="8.7109375" bestFit="1" customWidth="1"/>
    <col min="15" max="15" width="12.140625" customWidth="1"/>
    <col min="16" max="16" width="10.28515625" bestFit="1" customWidth="1"/>
    <col min="17" max="17" width="12" customWidth="1"/>
    <col min="18" max="18" width="11.28515625" bestFit="1" customWidth="1"/>
    <col min="19" max="19" width="11.5703125" customWidth="1"/>
    <col min="20" max="20" width="12.28515625" bestFit="1" customWidth="1"/>
  </cols>
  <sheetData>
    <row r="2" spans="1:20">
      <c r="C2" s="42" t="s">
        <v>1050</v>
      </c>
    </row>
    <row r="5" spans="1:20" s="221" customFormat="1">
      <c r="A5" s="220"/>
      <c r="B5" s="169" t="str">
        <f>Element.</f>
        <v>w</v>
      </c>
      <c r="C5" s="222" t="s">
        <v>134</v>
      </c>
      <c r="E5" s="222" t="s">
        <v>136</v>
      </c>
      <c r="G5" s="222" t="s">
        <v>135</v>
      </c>
      <c r="H5" s="223"/>
      <c r="I5" s="222" t="s">
        <v>134</v>
      </c>
      <c r="J5" s="232"/>
      <c r="K5" s="222" t="s">
        <v>136</v>
      </c>
      <c r="M5" s="222" t="s">
        <v>135</v>
      </c>
      <c r="N5" s="223"/>
      <c r="O5" s="222" t="s">
        <v>134</v>
      </c>
      <c r="Q5" s="222" t="s">
        <v>136</v>
      </c>
      <c r="S5" s="222" t="s">
        <v>135</v>
      </c>
      <c r="T5" s="223"/>
    </row>
    <row r="6" spans="1:20">
      <c r="A6" s="42" t="s">
        <v>816</v>
      </c>
      <c r="B6" s="168" t="s">
        <v>27</v>
      </c>
      <c r="C6" s="177" t="str">
        <f t="shared" ref="C6:C15" si="0">$B6&amp;C$5&amp;$B$5</f>
        <v>naw</v>
      </c>
      <c r="D6" s="211">
        <v>0</v>
      </c>
      <c r="E6" s="177"/>
      <c r="F6" s="176"/>
      <c r="G6" s="177"/>
      <c r="H6" s="175"/>
      <c r="I6" s="177"/>
      <c r="J6" s="233"/>
      <c r="K6" s="177"/>
      <c r="L6" s="176"/>
      <c r="M6" s="177"/>
      <c r="N6" s="175"/>
      <c r="O6" s="224"/>
      <c r="P6" s="225"/>
      <c r="Q6" s="226"/>
      <c r="R6" s="227"/>
      <c r="S6" s="226"/>
      <c r="T6" s="228"/>
    </row>
    <row r="7" spans="1:20">
      <c r="B7" s="168" t="s">
        <v>141</v>
      </c>
      <c r="C7" s="177" t="str">
        <f t="shared" si="0"/>
        <v>taw</v>
      </c>
      <c r="D7" s="211">
        <v>1</v>
      </c>
      <c r="E7" s="177" t="str">
        <f t="shared" ref="E7:E15" si="1">$B7&amp;E$5&amp;$B$5</f>
        <v>tow</v>
      </c>
      <c r="F7" s="211">
        <v>10</v>
      </c>
      <c r="G7" s="177" t="str">
        <f t="shared" ref="G7:G15" si="2">$B7&amp;G$5&amp;$B$5</f>
        <v>tiw</v>
      </c>
      <c r="H7" s="212">
        <v>100</v>
      </c>
      <c r="I7" s="177" t="str">
        <f t="shared" ref="I7:I15" si="3">$B7&amp;I$5&amp;$B$6&amp;$C$5&amp;$B$5</f>
        <v>tanaw</v>
      </c>
      <c r="J7" s="234">
        <v>1000</v>
      </c>
      <c r="K7" s="177" t="str">
        <f t="shared" ref="K7:K15" si="4">$B7&amp;K$5&amp;$B$6&amp;$C$5&amp;$B$5</f>
        <v>tonaw</v>
      </c>
      <c r="L7" s="216">
        <v>10000</v>
      </c>
      <c r="M7" s="177" t="str">
        <f t="shared" ref="M7:M15" si="5">$B7&amp;M$5&amp;$B$6&amp;$C$5&amp;$B$5</f>
        <v>tinaw</v>
      </c>
      <c r="N7" s="218">
        <v>100000</v>
      </c>
      <c r="O7" s="229" t="str">
        <f t="shared" ref="O7:O15" si="6">$B7&amp;O$5&amp;$B$6&amp;$C$5&amp;$B$6&amp;$C$5&amp;$B$5</f>
        <v>tananaw</v>
      </c>
      <c r="P7" s="216">
        <v>1000000</v>
      </c>
      <c r="Q7" s="177" t="str">
        <f t="shared" ref="Q7:Q15" si="7">$B7&amp;Q$5&amp;$B$6&amp;$C$5&amp;$B$6&amp;$C$5&amp;$B$5</f>
        <v>tonanaw</v>
      </c>
      <c r="R7" s="216">
        <v>10000000</v>
      </c>
      <c r="S7" s="177" t="str">
        <f t="shared" ref="S7:S15" si="8">$B7&amp;S$5&amp;$B$6&amp;$C$5&amp;$B$6&amp;$C$5&amp;$B$5</f>
        <v>tinanaw</v>
      </c>
      <c r="T7" s="218">
        <v>100000000</v>
      </c>
    </row>
    <row r="8" spans="1:20">
      <c r="A8" t="s">
        <v>817</v>
      </c>
      <c r="B8" s="168" t="s">
        <v>150</v>
      </c>
      <c r="C8" s="177" t="str">
        <f t="shared" si="0"/>
        <v>baw</v>
      </c>
      <c r="D8" s="211">
        <v>2</v>
      </c>
      <c r="E8" s="177" t="str">
        <f t="shared" si="1"/>
        <v>bow</v>
      </c>
      <c r="F8" s="211">
        <v>20</v>
      </c>
      <c r="G8" s="177" t="str">
        <f t="shared" si="2"/>
        <v>biw</v>
      </c>
      <c r="H8" s="212">
        <v>200</v>
      </c>
      <c r="I8" s="177" t="str">
        <f t="shared" si="3"/>
        <v>banaw</v>
      </c>
      <c r="J8" s="234">
        <v>2000</v>
      </c>
      <c r="K8" s="177" t="str">
        <f t="shared" si="4"/>
        <v>bonaw</v>
      </c>
      <c r="L8" s="216">
        <v>20000</v>
      </c>
      <c r="M8" s="177" t="str">
        <f t="shared" si="5"/>
        <v>binaw</v>
      </c>
      <c r="N8" s="218">
        <v>200000</v>
      </c>
      <c r="O8" s="229" t="str">
        <f t="shared" si="6"/>
        <v>bananaw</v>
      </c>
      <c r="P8" s="216">
        <v>2000000</v>
      </c>
      <c r="Q8" s="177" t="str">
        <f t="shared" si="7"/>
        <v>bonanaw</v>
      </c>
      <c r="R8" s="216">
        <v>20000000</v>
      </c>
      <c r="S8" s="177" t="str">
        <f t="shared" si="8"/>
        <v>binanaw</v>
      </c>
      <c r="T8" s="218">
        <v>200000000</v>
      </c>
    </row>
    <row r="9" spans="1:20">
      <c r="B9" s="168" t="s">
        <v>142</v>
      </c>
      <c r="C9" s="177" t="str">
        <f t="shared" si="0"/>
        <v>kaw</v>
      </c>
      <c r="D9" s="211">
        <v>3</v>
      </c>
      <c r="E9" s="177" t="str">
        <f t="shared" si="1"/>
        <v>kow</v>
      </c>
      <c r="F9" s="211">
        <v>30</v>
      </c>
      <c r="G9" s="177" t="str">
        <f t="shared" si="2"/>
        <v>kiw</v>
      </c>
      <c r="H9" s="212">
        <v>300</v>
      </c>
      <c r="I9" s="177" t="str">
        <f t="shared" si="3"/>
        <v>kanaw</v>
      </c>
      <c r="J9" s="234">
        <v>3000</v>
      </c>
      <c r="K9" s="177" t="str">
        <f t="shared" si="4"/>
        <v>konaw</v>
      </c>
      <c r="L9" s="216">
        <v>30000</v>
      </c>
      <c r="M9" s="177" t="str">
        <f t="shared" si="5"/>
        <v>kinaw</v>
      </c>
      <c r="N9" s="218">
        <v>300000</v>
      </c>
      <c r="O9" s="229" t="str">
        <f t="shared" si="6"/>
        <v>kananaw</v>
      </c>
      <c r="P9" s="216">
        <v>3000000</v>
      </c>
      <c r="Q9" s="177" t="str">
        <f t="shared" si="7"/>
        <v>konanaw</v>
      </c>
      <c r="R9" s="216">
        <v>30000000</v>
      </c>
      <c r="S9" s="177" t="str">
        <f t="shared" si="8"/>
        <v>kinanaw</v>
      </c>
      <c r="T9" s="218">
        <v>300000000</v>
      </c>
    </row>
    <row r="10" spans="1:20">
      <c r="B10" s="168" t="s">
        <v>115</v>
      </c>
      <c r="C10" s="177" t="str">
        <f t="shared" si="0"/>
        <v>maw</v>
      </c>
      <c r="D10" s="211">
        <v>4</v>
      </c>
      <c r="E10" s="177" t="str">
        <f t="shared" si="1"/>
        <v>mow</v>
      </c>
      <c r="F10" s="211">
        <v>40</v>
      </c>
      <c r="G10" s="177" t="str">
        <f t="shared" si="2"/>
        <v>miw</v>
      </c>
      <c r="H10" s="212">
        <v>400</v>
      </c>
      <c r="I10" s="177" t="str">
        <f t="shared" si="3"/>
        <v>manaw</v>
      </c>
      <c r="J10" s="234">
        <v>4000</v>
      </c>
      <c r="K10" s="177" t="str">
        <f t="shared" si="4"/>
        <v>monaw</v>
      </c>
      <c r="L10" s="216">
        <v>40000</v>
      </c>
      <c r="M10" s="177" t="str">
        <f t="shared" si="5"/>
        <v>minaw</v>
      </c>
      <c r="N10" s="218">
        <v>400000</v>
      </c>
      <c r="O10" s="229" t="str">
        <f t="shared" si="6"/>
        <v>mananaw</v>
      </c>
      <c r="P10" s="216">
        <v>4000000</v>
      </c>
      <c r="Q10" s="177" t="str">
        <f t="shared" si="7"/>
        <v>monanaw</v>
      </c>
      <c r="R10" s="216">
        <v>40000000</v>
      </c>
      <c r="S10" s="177" t="str">
        <f t="shared" si="8"/>
        <v>minanaw</v>
      </c>
      <c r="T10" s="218">
        <v>400000000</v>
      </c>
    </row>
    <row r="11" spans="1:20">
      <c r="B11" s="168" t="s">
        <v>144</v>
      </c>
      <c r="C11" s="177" t="str">
        <f t="shared" si="0"/>
        <v>khaw</v>
      </c>
      <c r="D11" s="211">
        <v>5</v>
      </c>
      <c r="E11" s="177" t="str">
        <f t="shared" si="1"/>
        <v>khow</v>
      </c>
      <c r="F11" s="211">
        <v>50</v>
      </c>
      <c r="G11" s="177" t="str">
        <f t="shared" si="2"/>
        <v>khiw</v>
      </c>
      <c r="H11" s="212">
        <v>500</v>
      </c>
      <c r="I11" s="177" t="str">
        <f t="shared" si="3"/>
        <v>khanaw</v>
      </c>
      <c r="J11" s="234">
        <v>5000</v>
      </c>
      <c r="K11" s="177" t="str">
        <f t="shared" si="4"/>
        <v>khonaw</v>
      </c>
      <c r="L11" s="216">
        <v>50000</v>
      </c>
      <c r="M11" s="177" t="str">
        <f t="shared" si="5"/>
        <v>khinaw</v>
      </c>
      <c r="N11" s="218">
        <v>500000</v>
      </c>
      <c r="O11" s="229" t="str">
        <f t="shared" si="6"/>
        <v>khananaw</v>
      </c>
      <c r="P11" s="216">
        <v>5000000</v>
      </c>
      <c r="Q11" s="177" t="str">
        <f t="shared" si="7"/>
        <v>khonanaw</v>
      </c>
      <c r="R11" s="216">
        <v>50000000</v>
      </c>
      <c r="S11" s="177" t="str">
        <f t="shared" si="8"/>
        <v>khinanaw</v>
      </c>
      <c r="T11" s="218">
        <v>500000000</v>
      </c>
    </row>
    <row r="12" spans="1:20">
      <c r="B12" s="168" t="s">
        <v>146</v>
      </c>
      <c r="C12" s="177" t="str">
        <f t="shared" si="0"/>
        <v>jaw</v>
      </c>
      <c r="D12" s="211">
        <v>6</v>
      </c>
      <c r="E12" s="177" t="str">
        <f t="shared" si="1"/>
        <v>jow</v>
      </c>
      <c r="F12" s="211">
        <v>60</v>
      </c>
      <c r="G12" s="177" t="str">
        <f t="shared" si="2"/>
        <v>jiw</v>
      </c>
      <c r="H12" s="212">
        <v>600</v>
      </c>
      <c r="I12" s="177" t="str">
        <f t="shared" si="3"/>
        <v>janaw</v>
      </c>
      <c r="J12" s="234">
        <v>6000</v>
      </c>
      <c r="K12" s="177" t="str">
        <f t="shared" si="4"/>
        <v>jonaw</v>
      </c>
      <c r="L12" s="216">
        <v>60000</v>
      </c>
      <c r="M12" s="177" t="str">
        <f t="shared" si="5"/>
        <v>jinaw</v>
      </c>
      <c r="N12" s="218">
        <v>600000</v>
      </c>
      <c r="O12" s="229" t="str">
        <f t="shared" si="6"/>
        <v>jananaw</v>
      </c>
      <c r="P12" s="216">
        <v>6000000</v>
      </c>
      <c r="Q12" s="177" t="str">
        <f t="shared" si="7"/>
        <v>jonanaw</v>
      </c>
      <c r="R12" s="216">
        <v>60000000</v>
      </c>
      <c r="S12" s="177" t="str">
        <f t="shared" si="8"/>
        <v>jinanaw</v>
      </c>
      <c r="T12" s="218">
        <v>600000000</v>
      </c>
    </row>
    <row r="13" spans="1:20">
      <c r="B13" s="168" t="s">
        <v>143</v>
      </c>
      <c r="C13" s="177" t="str">
        <f t="shared" si="0"/>
        <v>faw</v>
      </c>
      <c r="D13" s="211">
        <v>7</v>
      </c>
      <c r="E13" s="177" t="str">
        <f t="shared" si="1"/>
        <v>fow</v>
      </c>
      <c r="F13" s="211">
        <v>70</v>
      </c>
      <c r="G13" s="177" t="str">
        <f t="shared" si="2"/>
        <v>fiw</v>
      </c>
      <c r="H13" s="212">
        <v>700</v>
      </c>
      <c r="I13" s="177" t="str">
        <f t="shared" si="3"/>
        <v>fanaw</v>
      </c>
      <c r="J13" s="234">
        <v>7000</v>
      </c>
      <c r="K13" s="177" t="str">
        <f t="shared" si="4"/>
        <v>fonaw</v>
      </c>
      <c r="L13" s="216">
        <v>70000</v>
      </c>
      <c r="M13" s="177" t="str">
        <f t="shared" si="5"/>
        <v>finaw</v>
      </c>
      <c r="N13" s="218">
        <v>700000</v>
      </c>
      <c r="O13" s="229" t="str">
        <f t="shared" si="6"/>
        <v>fananaw</v>
      </c>
      <c r="P13" s="216">
        <v>7000000</v>
      </c>
      <c r="Q13" s="177" t="str">
        <f t="shared" si="7"/>
        <v>fonanaw</v>
      </c>
      <c r="R13" s="216">
        <v>70000000</v>
      </c>
      <c r="S13" s="177" t="str">
        <f t="shared" si="8"/>
        <v>finanaw</v>
      </c>
      <c r="T13" s="218">
        <v>700000000</v>
      </c>
    </row>
    <row r="14" spans="1:20">
      <c r="B14" s="168" t="s">
        <v>118</v>
      </c>
      <c r="C14" s="177" t="str">
        <f t="shared" si="0"/>
        <v>law</v>
      </c>
      <c r="D14" s="211">
        <v>8</v>
      </c>
      <c r="E14" s="177" t="str">
        <f t="shared" si="1"/>
        <v>low</v>
      </c>
      <c r="F14" s="211">
        <v>80</v>
      </c>
      <c r="G14" s="177" t="str">
        <f t="shared" si="2"/>
        <v>liw</v>
      </c>
      <c r="H14" s="212">
        <v>800</v>
      </c>
      <c r="I14" s="177" t="str">
        <f t="shared" si="3"/>
        <v>lanaw</v>
      </c>
      <c r="J14" s="234">
        <v>8000</v>
      </c>
      <c r="K14" s="177" t="str">
        <f t="shared" si="4"/>
        <v>lonaw</v>
      </c>
      <c r="L14" s="216">
        <v>80000</v>
      </c>
      <c r="M14" s="177" t="str">
        <f t="shared" si="5"/>
        <v>linaw</v>
      </c>
      <c r="N14" s="218">
        <v>800000</v>
      </c>
      <c r="O14" s="229" t="str">
        <f t="shared" si="6"/>
        <v>lananaw</v>
      </c>
      <c r="P14" s="216">
        <v>8000000</v>
      </c>
      <c r="Q14" s="177" t="str">
        <f t="shared" si="7"/>
        <v>lonanaw</v>
      </c>
      <c r="R14" s="216">
        <v>80000000</v>
      </c>
      <c r="S14" s="177" t="str">
        <f t="shared" si="8"/>
        <v>linanaw</v>
      </c>
      <c r="T14" s="218">
        <v>800000000</v>
      </c>
    </row>
    <row r="15" spans="1:20">
      <c r="B15" s="213" t="s">
        <v>114</v>
      </c>
      <c r="C15" s="182" t="str">
        <f t="shared" si="0"/>
        <v>saw</v>
      </c>
      <c r="D15" s="214">
        <v>9</v>
      </c>
      <c r="E15" s="182" t="str">
        <f t="shared" si="1"/>
        <v>sow</v>
      </c>
      <c r="F15" s="214">
        <v>90</v>
      </c>
      <c r="G15" s="182" t="str">
        <f t="shared" si="2"/>
        <v>siw</v>
      </c>
      <c r="H15" s="215">
        <v>900</v>
      </c>
      <c r="I15" s="182" t="str">
        <f t="shared" si="3"/>
        <v>sanaw</v>
      </c>
      <c r="J15" s="235">
        <v>9000</v>
      </c>
      <c r="K15" s="182" t="str">
        <f t="shared" si="4"/>
        <v>sonaw</v>
      </c>
      <c r="L15" s="217">
        <v>90000</v>
      </c>
      <c r="M15" s="182" t="str">
        <f t="shared" si="5"/>
        <v>sinaw</v>
      </c>
      <c r="N15" s="219">
        <v>900000</v>
      </c>
      <c r="O15" s="230" t="str">
        <f t="shared" si="6"/>
        <v>sananaw</v>
      </c>
      <c r="P15" s="217">
        <v>9000000</v>
      </c>
      <c r="Q15" s="182" t="str">
        <f t="shared" si="7"/>
        <v>sonanaw</v>
      </c>
      <c r="R15" s="217">
        <v>90000000</v>
      </c>
      <c r="S15" s="182" t="str">
        <f t="shared" si="8"/>
        <v>sinanaw</v>
      </c>
      <c r="T15" s="219">
        <v>900000000</v>
      </c>
    </row>
    <row r="17" spans="1:20">
      <c r="I17" s="42" t="s">
        <v>792</v>
      </c>
    </row>
    <row r="18" spans="1:20">
      <c r="E18" s="177" t="s">
        <v>789</v>
      </c>
      <c r="F18" s="209">
        <v>11</v>
      </c>
      <c r="G18" s="177" t="s">
        <v>788</v>
      </c>
      <c r="H18" s="82">
        <v>101</v>
      </c>
      <c r="I18" s="177" t="s">
        <v>791</v>
      </c>
      <c r="J18" s="234">
        <v>1001</v>
      </c>
      <c r="K18" s="177"/>
    </row>
    <row r="19" spans="1:20">
      <c r="E19" s="177" t="s">
        <v>787</v>
      </c>
      <c r="F19" s="82">
        <v>87</v>
      </c>
      <c r="G19" s="177" t="s">
        <v>786</v>
      </c>
      <c r="H19" s="82">
        <v>789</v>
      </c>
      <c r="I19" s="177" t="s">
        <v>794</v>
      </c>
      <c r="J19" s="236">
        <v>1400</v>
      </c>
      <c r="K19" s="177" t="s">
        <v>790</v>
      </c>
      <c r="L19" s="82">
        <v>86473</v>
      </c>
    </row>
    <row r="20" spans="1:20">
      <c r="I20" s="177"/>
      <c r="K20" s="177"/>
    </row>
    <row r="21" spans="1:20">
      <c r="I21" s="177"/>
      <c r="K21" s="177"/>
    </row>
    <row r="22" spans="1:20">
      <c r="K22" s="177"/>
    </row>
    <row r="24" spans="1:20">
      <c r="A24" s="42" t="s">
        <v>796</v>
      </c>
      <c r="B24" s="237" t="s">
        <v>149</v>
      </c>
      <c r="C24" s="238" t="str">
        <f t="shared" ref="C24:C32" si="9">$B24&amp;C$5&amp;$B$5</f>
        <v>daw</v>
      </c>
      <c r="D24" s="239" t="s">
        <v>0</v>
      </c>
      <c r="E24" s="238" t="str">
        <f t="shared" ref="E24:E32" si="10">$B24&amp;E$5&amp;$B$5</f>
        <v>dow</v>
      </c>
      <c r="F24" s="239" t="str">
        <f>D24&amp;"0"</f>
        <v>A0</v>
      </c>
      <c r="G24" s="238" t="str">
        <f t="shared" ref="G24:G32" si="11">$B24&amp;G$5&amp;$B$5</f>
        <v>diw</v>
      </c>
      <c r="H24" s="227" t="str">
        <f>F24&amp;"0"</f>
        <v>A00</v>
      </c>
      <c r="I24" s="240" t="str">
        <f t="shared" ref="I24:I32" si="12">$B24&amp;I$5&amp;$B$6&amp;$C$5&amp;$B$5</f>
        <v>danaw</v>
      </c>
      <c r="J24" s="225" t="str">
        <f>H24&amp;"0"</f>
        <v>A000</v>
      </c>
      <c r="K24" s="238" t="str">
        <f t="shared" ref="K24:K32" si="13">$B24&amp;K$5&amp;$B$6&amp;$C$5&amp;$B$5</f>
        <v>donaw</v>
      </c>
      <c r="L24" s="227" t="str">
        <f>J24&amp;"0"</f>
        <v>A0000</v>
      </c>
      <c r="M24" s="238" t="str">
        <f t="shared" ref="M24:M32" si="14">$B24&amp;M$5&amp;$B$6&amp;$C$5&amp;$B$5</f>
        <v>dinaw</v>
      </c>
      <c r="N24" s="228" t="str">
        <f>L24&amp;"0"</f>
        <v>A00000</v>
      </c>
      <c r="O24" s="240" t="str">
        <f t="shared" ref="O24:O32" si="15">$B24&amp;O$5&amp;$B$6&amp;$C$5&amp;$B$6&amp;$C$5&amp;$B$5</f>
        <v>dananaw</v>
      </c>
      <c r="P24" s="227" t="str">
        <f>N24&amp;"0"</f>
        <v>A000000</v>
      </c>
      <c r="Q24" s="238" t="str">
        <f t="shared" ref="Q24:Q32" si="16">$B24&amp;Q$5&amp;$B$6&amp;$C$5&amp;$B$6&amp;$C$5&amp;$B$5</f>
        <v>donanaw</v>
      </c>
      <c r="R24" s="227" t="str">
        <f>P24&amp;"0"</f>
        <v>A0000000</v>
      </c>
      <c r="S24" s="238" t="str">
        <f t="shared" ref="S24:S32" si="17">$B24&amp;S$5&amp;$B$6&amp;$C$5&amp;$B$6&amp;$C$5&amp;$B$5</f>
        <v>dinanaw</v>
      </c>
      <c r="T24" s="228" t="str">
        <f>R24&amp;"0"</f>
        <v>A00000000</v>
      </c>
    </row>
    <row r="25" spans="1:20">
      <c r="B25" s="168" t="s">
        <v>140</v>
      </c>
      <c r="C25" s="195" t="str">
        <f t="shared" si="9"/>
        <v>paw</v>
      </c>
      <c r="D25" s="184" t="s">
        <v>304</v>
      </c>
      <c r="E25" s="195" t="str">
        <f t="shared" si="10"/>
        <v>pow</v>
      </c>
      <c r="F25" s="184" t="str">
        <f t="shared" ref="F25:T32" si="18">D25&amp;"0"</f>
        <v>B0</v>
      </c>
      <c r="G25" s="195" t="str">
        <f t="shared" si="11"/>
        <v>piw</v>
      </c>
      <c r="H25" s="176" t="str">
        <f t="shared" si="18"/>
        <v>B00</v>
      </c>
      <c r="I25" s="231" t="str">
        <f t="shared" si="12"/>
        <v>panaw</v>
      </c>
      <c r="J25" s="211" t="str">
        <f t="shared" si="18"/>
        <v>B000</v>
      </c>
      <c r="K25" s="195" t="str">
        <f t="shared" si="13"/>
        <v>ponaw</v>
      </c>
      <c r="L25" s="176" t="str">
        <f t="shared" si="18"/>
        <v>B0000</v>
      </c>
      <c r="M25" s="195" t="str">
        <f t="shared" si="14"/>
        <v>pinaw</v>
      </c>
      <c r="N25" s="175" t="str">
        <f t="shared" si="18"/>
        <v>B00000</v>
      </c>
      <c r="O25" s="231" t="str">
        <f t="shared" si="15"/>
        <v>pananaw</v>
      </c>
      <c r="P25" s="176" t="str">
        <f t="shared" si="18"/>
        <v>B000000</v>
      </c>
      <c r="Q25" s="195" t="str">
        <f t="shared" si="16"/>
        <v>ponanaw</v>
      </c>
      <c r="R25" s="176" t="str">
        <f t="shared" si="18"/>
        <v>B0000000</v>
      </c>
      <c r="S25" s="195" t="str">
        <f t="shared" si="17"/>
        <v>pinanaw</v>
      </c>
      <c r="T25" s="175" t="str">
        <f t="shared" si="18"/>
        <v>B00000000</v>
      </c>
    </row>
    <row r="26" spans="1:20">
      <c r="B26" s="168" t="s">
        <v>148</v>
      </c>
      <c r="C26" s="195" t="str">
        <f t="shared" si="9"/>
        <v>gaw</v>
      </c>
      <c r="D26" s="184" t="s">
        <v>795</v>
      </c>
      <c r="E26" s="195" t="str">
        <f t="shared" si="10"/>
        <v>gow</v>
      </c>
      <c r="F26" s="176" t="str">
        <f t="shared" si="18"/>
        <v>C0</v>
      </c>
      <c r="G26" s="195" t="str">
        <f t="shared" si="11"/>
        <v>giw</v>
      </c>
      <c r="H26" s="176" t="str">
        <f t="shared" si="18"/>
        <v>C00</v>
      </c>
      <c r="I26" s="231" t="str">
        <f t="shared" si="12"/>
        <v>ganaw</v>
      </c>
      <c r="J26" s="211" t="str">
        <f t="shared" si="18"/>
        <v>C000</v>
      </c>
      <c r="K26" s="195" t="str">
        <f t="shared" si="13"/>
        <v>gonaw</v>
      </c>
      <c r="L26" s="176" t="str">
        <f t="shared" si="18"/>
        <v>C0000</v>
      </c>
      <c r="M26" s="195" t="str">
        <f t="shared" si="14"/>
        <v>ginaw</v>
      </c>
      <c r="N26" s="175" t="str">
        <f t="shared" si="18"/>
        <v>C00000</v>
      </c>
      <c r="O26" s="231" t="str">
        <f t="shared" si="15"/>
        <v>gananaw</v>
      </c>
      <c r="P26" s="176" t="str">
        <f t="shared" si="18"/>
        <v>C000000</v>
      </c>
      <c r="Q26" s="195" t="str">
        <f t="shared" si="16"/>
        <v>gonanaw</v>
      </c>
      <c r="R26" s="176" t="str">
        <f t="shared" si="18"/>
        <v>C0000000</v>
      </c>
      <c r="S26" s="195" t="str">
        <f t="shared" si="17"/>
        <v>ginanaw</v>
      </c>
      <c r="T26" s="175" t="str">
        <f t="shared" si="18"/>
        <v>C00000000</v>
      </c>
    </row>
    <row r="27" spans="1:20">
      <c r="B27" s="168" t="s">
        <v>119</v>
      </c>
      <c r="C27" s="195" t="str">
        <f t="shared" si="9"/>
        <v>yaw</v>
      </c>
      <c r="D27" s="184" t="s">
        <v>305</v>
      </c>
      <c r="E27" s="195" t="str">
        <f t="shared" si="10"/>
        <v>yow</v>
      </c>
      <c r="F27" s="176" t="str">
        <f t="shared" si="18"/>
        <v>D0</v>
      </c>
      <c r="G27" s="195" t="str">
        <f t="shared" si="11"/>
        <v>yiw</v>
      </c>
      <c r="H27" s="176" t="str">
        <f t="shared" si="18"/>
        <v>D00</v>
      </c>
      <c r="I27" s="231" t="str">
        <f t="shared" si="12"/>
        <v>yanaw</v>
      </c>
      <c r="J27" s="211" t="str">
        <f t="shared" si="18"/>
        <v>D000</v>
      </c>
      <c r="K27" s="195" t="str">
        <f t="shared" si="13"/>
        <v>yonaw</v>
      </c>
      <c r="L27" s="176" t="str">
        <f t="shared" si="18"/>
        <v>D0000</v>
      </c>
      <c r="M27" s="195" t="str">
        <f t="shared" si="14"/>
        <v>yinaw</v>
      </c>
      <c r="N27" s="175" t="str">
        <f t="shared" si="18"/>
        <v>D00000</v>
      </c>
      <c r="O27" s="231" t="str">
        <f t="shared" si="15"/>
        <v>yananaw</v>
      </c>
      <c r="P27" s="176" t="str">
        <f t="shared" si="18"/>
        <v>D000000</v>
      </c>
      <c r="Q27" s="195" t="str">
        <f t="shared" si="16"/>
        <v>yonanaw</v>
      </c>
      <c r="R27" s="176" t="str">
        <f t="shared" si="18"/>
        <v>D0000000</v>
      </c>
      <c r="S27" s="195" t="str">
        <f t="shared" si="17"/>
        <v>yinanaw</v>
      </c>
      <c r="T27" s="175" t="str">
        <f t="shared" si="18"/>
        <v>D00000000</v>
      </c>
    </row>
    <row r="28" spans="1:20">
      <c r="B28" s="168" t="s">
        <v>117</v>
      </c>
      <c r="C28" s="195" t="str">
        <f t="shared" si="9"/>
        <v>raw</v>
      </c>
      <c r="D28" s="184" t="s">
        <v>1</v>
      </c>
      <c r="E28" s="195" t="str">
        <f t="shared" si="10"/>
        <v>row</v>
      </c>
      <c r="F28" s="176" t="str">
        <f t="shared" si="18"/>
        <v>E0</v>
      </c>
      <c r="G28" s="195" t="str">
        <f t="shared" si="11"/>
        <v>riw</v>
      </c>
      <c r="H28" s="176" t="str">
        <f t="shared" si="18"/>
        <v>E00</v>
      </c>
      <c r="I28" s="229" t="str">
        <f t="shared" si="12"/>
        <v>ranaw</v>
      </c>
      <c r="J28" s="211" t="str">
        <f t="shared" si="18"/>
        <v>E000</v>
      </c>
      <c r="K28" s="177" t="str">
        <f t="shared" si="13"/>
        <v>ronaw</v>
      </c>
      <c r="L28" s="176" t="str">
        <f t="shared" si="18"/>
        <v>E0000</v>
      </c>
      <c r="M28" s="195" t="str">
        <f t="shared" si="14"/>
        <v>rinaw</v>
      </c>
      <c r="N28" s="175" t="str">
        <f t="shared" si="18"/>
        <v>E00000</v>
      </c>
      <c r="O28" s="231" t="str">
        <f t="shared" si="15"/>
        <v>rananaw</v>
      </c>
      <c r="P28" s="176" t="str">
        <f t="shared" si="18"/>
        <v>E000000</v>
      </c>
      <c r="Q28" s="195" t="str">
        <f t="shared" si="16"/>
        <v>ronanaw</v>
      </c>
      <c r="R28" s="176" t="str">
        <f t="shared" si="18"/>
        <v>E0000000</v>
      </c>
      <c r="S28" s="195" t="str">
        <f t="shared" si="17"/>
        <v>rinanaw</v>
      </c>
      <c r="T28" s="175" t="str">
        <f t="shared" si="18"/>
        <v>E00000000</v>
      </c>
    </row>
    <row r="29" spans="1:20">
      <c r="B29" s="213" t="s">
        <v>797</v>
      </c>
      <c r="C29" s="241" t="str">
        <f t="shared" si="9"/>
        <v>shaw</v>
      </c>
      <c r="D29" s="242" t="s">
        <v>299</v>
      </c>
      <c r="E29" s="241" t="str">
        <f t="shared" si="10"/>
        <v>show</v>
      </c>
      <c r="F29" s="180" t="str">
        <f t="shared" si="18"/>
        <v>F0</v>
      </c>
      <c r="G29" s="241" t="str">
        <f t="shared" si="11"/>
        <v>shiw</v>
      </c>
      <c r="H29" s="180" t="str">
        <f t="shared" si="18"/>
        <v>F00</v>
      </c>
      <c r="I29" s="230" t="str">
        <f t="shared" si="12"/>
        <v>shanaw</v>
      </c>
      <c r="J29" s="214" t="str">
        <f t="shared" si="18"/>
        <v>F000</v>
      </c>
      <c r="K29" s="182" t="str">
        <f t="shared" si="13"/>
        <v>shonaw</v>
      </c>
      <c r="L29" s="180" t="str">
        <f t="shared" si="18"/>
        <v>F0000</v>
      </c>
      <c r="M29" s="241" t="str">
        <f t="shared" si="14"/>
        <v>shinaw</v>
      </c>
      <c r="N29" s="183" t="str">
        <f t="shared" si="18"/>
        <v>F00000</v>
      </c>
      <c r="O29" s="243" t="str">
        <f t="shared" si="15"/>
        <v>shananaw</v>
      </c>
      <c r="P29" s="180" t="str">
        <f t="shared" si="18"/>
        <v>F000000</v>
      </c>
      <c r="Q29" s="241" t="str">
        <f t="shared" si="16"/>
        <v>shonanaw</v>
      </c>
      <c r="R29" s="180" t="str">
        <f t="shared" si="18"/>
        <v>F0000000</v>
      </c>
      <c r="S29" s="241" t="str">
        <f t="shared" si="17"/>
        <v>shinanaw</v>
      </c>
      <c r="T29" s="183" t="str">
        <f t="shared" si="18"/>
        <v>F00000000</v>
      </c>
    </row>
    <row r="30" spans="1:20">
      <c r="A30" s="42" t="s">
        <v>798</v>
      </c>
      <c r="B30" s="237" t="s">
        <v>147</v>
      </c>
      <c r="C30" s="238" t="str">
        <f t="shared" si="9"/>
        <v>vaw</v>
      </c>
      <c r="D30" s="245" t="s">
        <v>306</v>
      </c>
      <c r="E30" s="238" t="str">
        <f t="shared" si="10"/>
        <v>vow</v>
      </c>
      <c r="F30" s="246" t="str">
        <f t="shared" si="18"/>
        <v>G0</v>
      </c>
      <c r="G30" s="238" t="str">
        <f t="shared" si="11"/>
        <v>viw</v>
      </c>
      <c r="H30" s="246" t="str">
        <f t="shared" si="18"/>
        <v>G00</v>
      </c>
      <c r="I30" s="240" t="str">
        <f t="shared" si="12"/>
        <v>vanaw</v>
      </c>
      <c r="J30" s="225" t="str">
        <f t="shared" si="18"/>
        <v>G000</v>
      </c>
      <c r="K30" s="238" t="str">
        <f t="shared" si="13"/>
        <v>vonaw</v>
      </c>
      <c r="L30" s="246" t="str">
        <f t="shared" si="18"/>
        <v>G0000</v>
      </c>
      <c r="M30" s="238" t="str">
        <f t="shared" si="14"/>
        <v>vinaw</v>
      </c>
      <c r="N30" s="247" t="str">
        <f t="shared" si="18"/>
        <v>G00000</v>
      </c>
      <c r="O30" s="240" t="str">
        <f t="shared" si="15"/>
        <v>vananaw</v>
      </c>
      <c r="P30" s="246" t="str">
        <f t="shared" si="18"/>
        <v>G000000</v>
      </c>
      <c r="Q30" s="238" t="str">
        <f t="shared" si="16"/>
        <v>vonanaw</v>
      </c>
      <c r="R30" s="246" t="str">
        <f t="shared" si="18"/>
        <v>G0000000</v>
      </c>
      <c r="S30" s="238" t="str">
        <f t="shared" si="17"/>
        <v>vinanaw</v>
      </c>
      <c r="T30" s="247" t="str">
        <f t="shared" si="18"/>
        <v>G00000000</v>
      </c>
    </row>
    <row r="31" spans="1:20">
      <c r="B31" s="168" t="s">
        <v>139</v>
      </c>
      <c r="C31" s="195" t="str">
        <f t="shared" si="9"/>
        <v>haw</v>
      </c>
      <c r="D31" s="192" t="s">
        <v>301</v>
      </c>
      <c r="E31" s="195" t="str">
        <f t="shared" si="10"/>
        <v>how</v>
      </c>
      <c r="F31" s="199" t="str">
        <f t="shared" si="18"/>
        <v>H0</v>
      </c>
      <c r="G31" s="195" t="str">
        <f t="shared" si="11"/>
        <v>hiw</v>
      </c>
      <c r="H31" s="199" t="str">
        <f t="shared" si="18"/>
        <v>H00</v>
      </c>
      <c r="I31" s="231" t="str">
        <f t="shared" si="12"/>
        <v>hanaw</v>
      </c>
      <c r="J31" s="211" t="str">
        <f t="shared" si="18"/>
        <v>H000</v>
      </c>
      <c r="K31" s="195" t="str">
        <f t="shared" si="13"/>
        <v>honaw</v>
      </c>
      <c r="L31" s="199" t="str">
        <f t="shared" si="18"/>
        <v>H0000</v>
      </c>
      <c r="M31" s="195" t="str">
        <f t="shared" si="14"/>
        <v>hinaw</v>
      </c>
      <c r="N31" s="244" t="str">
        <f t="shared" si="18"/>
        <v>H00000</v>
      </c>
      <c r="O31" s="231" t="str">
        <f t="shared" si="15"/>
        <v>hananaw</v>
      </c>
      <c r="P31" s="199" t="str">
        <f t="shared" si="18"/>
        <v>H000000</v>
      </c>
      <c r="Q31" s="195" t="str">
        <f t="shared" si="16"/>
        <v>honanaw</v>
      </c>
      <c r="R31" s="199" t="str">
        <f t="shared" si="18"/>
        <v>H0000000</v>
      </c>
      <c r="S31" s="195" t="str">
        <f t="shared" si="17"/>
        <v>hinanaw</v>
      </c>
      <c r="T31" s="244" t="str">
        <f t="shared" si="18"/>
        <v>H00000000</v>
      </c>
    </row>
    <row r="32" spans="1:20">
      <c r="B32" s="213" t="s">
        <v>116</v>
      </c>
      <c r="C32" s="241" t="str">
        <f t="shared" si="9"/>
        <v>zaw</v>
      </c>
      <c r="D32" s="248" t="s">
        <v>2</v>
      </c>
      <c r="E32" s="241" t="str">
        <f t="shared" si="10"/>
        <v>zow</v>
      </c>
      <c r="F32" s="249" t="str">
        <f t="shared" si="18"/>
        <v>I0</v>
      </c>
      <c r="G32" s="241" t="str">
        <f t="shared" si="11"/>
        <v>ziw</v>
      </c>
      <c r="H32" s="249" t="str">
        <f t="shared" si="18"/>
        <v>I00</v>
      </c>
      <c r="I32" s="243" t="str">
        <f t="shared" si="12"/>
        <v>zanaw</v>
      </c>
      <c r="J32" s="214" t="str">
        <f t="shared" si="18"/>
        <v>I000</v>
      </c>
      <c r="K32" s="241" t="str">
        <f t="shared" si="13"/>
        <v>zonaw</v>
      </c>
      <c r="L32" s="249" t="str">
        <f t="shared" si="18"/>
        <v>I0000</v>
      </c>
      <c r="M32" s="241" t="str">
        <f t="shared" si="14"/>
        <v>zinaw</v>
      </c>
      <c r="N32" s="250" t="str">
        <f t="shared" si="18"/>
        <v>I00000</v>
      </c>
      <c r="O32" s="243" t="str">
        <f t="shared" si="15"/>
        <v>zananaw</v>
      </c>
      <c r="P32" s="249" t="str">
        <f t="shared" si="18"/>
        <v>I000000</v>
      </c>
      <c r="Q32" s="241" t="str">
        <f t="shared" si="16"/>
        <v>zonanaw</v>
      </c>
      <c r="R32" s="249" t="str">
        <f t="shared" si="18"/>
        <v>I0000000</v>
      </c>
      <c r="S32" s="241" t="str">
        <f t="shared" si="17"/>
        <v>zinanaw</v>
      </c>
      <c r="T32" s="250" t="str">
        <f t="shared" si="18"/>
        <v>I00000000</v>
      </c>
    </row>
    <row r="34" spans="19:21">
      <c r="S34" s="177" t="s">
        <v>994</v>
      </c>
      <c r="T34" s="42" t="s">
        <v>992</v>
      </c>
      <c r="U34" s="42" t="s">
        <v>993</v>
      </c>
    </row>
    <row r="35" spans="19:21">
      <c r="S35" s="1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B1:AK137"/>
  <sheetViews>
    <sheetView showGridLines="0" zoomScale="145" zoomScaleNormal="145" workbookViewId="0">
      <selection activeCell="G13" sqref="G13"/>
    </sheetView>
  </sheetViews>
  <sheetFormatPr defaultRowHeight="12.75"/>
  <cols>
    <col min="1" max="1" width="3.140625" customWidth="1"/>
    <col min="2" max="2" width="2.28515625" bestFit="1" customWidth="1"/>
    <col min="3" max="3" width="10.7109375" bestFit="1" customWidth="1"/>
    <col min="4" max="4" width="9.28515625" bestFit="1" customWidth="1"/>
    <col min="5" max="5" width="8.42578125" bestFit="1" customWidth="1"/>
    <col min="6" max="6" width="2.28515625" customWidth="1"/>
    <col min="7" max="7" width="12.42578125" customWidth="1"/>
    <col min="8" max="8" width="11.28515625" customWidth="1"/>
    <col min="9" max="9" width="8.85546875" bestFit="1" customWidth="1"/>
    <col min="10" max="10" width="9.85546875" bestFit="1" customWidth="1"/>
    <col min="11" max="11" width="4" bestFit="1" customWidth="1"/>
    <col min="12" max="12" width="10.28515625" bestFit="1" customWidth="1"/>
    <col min="13" max="13" width="9.7109375" bestFit="1" customWidth="1"/>
    <col min="14" max="14" width="2.85546875" customWidth="1"/>
    <col min="15" max="15" width="9.42578125" customWidth="1"/>
    <col min="16" max="16" width="4" customWidth="1"/>
    <col min="17" max="17" width="3.7109375" customWidth="1"/>
    <col min="18" max="18" width="14.28515625" style="131" customWidth="1"/>
    <col min="19" max="19" width="3.5703125" style="337" bestFit="1" customWidth="1"/>
    <col min="20" max="20" width="3.5703125" style="341" bestFit="1" customWidth="1"/>
    <col min="22" max="22" width="4.5703125" customWidth="1"/>
    <col min="23" max="25" width="6.42578125" customWidth="1"/>
    <col min="26" max="26" width="3.42578125" customWidth="1"/>
    <col min="27" max="31" width="6.42578125" customWidth="1"/>
    <col min="32" max="36" width="6.140625" customWidth="1"/>
    <col min="37" max="37" width="3.28515625" customWidth="1"/>
  </cols>
  <sheetData>
    <row r="1" spans="2:20" ht="13.5" thickBot="1">
      <c r="R1" s="5"/>
      <c r="S1" s="5"/>
      <c r="T1" s="338"/>
    </row>
    <row r="2" spans="2:20" ht="15.75" thickBot="1">
      <c r="B2" s="36">
        <f>Radicals!C2</f>
        <v>0</v>
      </c>
      <c r="C2" s="37" t="str">
        <f>Radicals!D2</f>
        <v>p</v>
      </c>
      <c r="D2" s="38" t="str">
        <f>Radicals!E2</f>
        <v>t</v>
      </c>
      <c r="E2" s="39" t="str">
        <f>Radicals!F2</f>
        <v>k</v>
      </c>
      <c r="F2" s="35"/>
      <c r="G2" s="39" t="str">
        <f>Radicals!H2</f>
        <v>f</v>
      </c>
      <c r="H2" s="38" t="str">
        <f>Radicals!I2</f>
        <v>s</v>
      </c>
      <c r="I2" s="39" t="str">
        <f>Radicals!J2</f>
        <v>c</v>
      </c>
      <c r="J2" s="39" t="str">
        <f>Radicals!K2</f>
        <v>x</v>
      </c>
      <c r="K2" s="35"/>
      <c r="L2" s="39" t="str">
        <f>Radicals!M2</f>
        <v>n</v>
      </c>
      <c r="M2" s="39" t="str">
        <f>Radicals!N2</f>
        <v>y</v>
      </c>
      <c r="N2" s="35"/>
      <c r="O2" s="39" t="str">
        <f>Radicals!P2</f>
        <v>h</v>
      </c>
      <c r="R2"/>
      <c r="S2"/>
      <c r="T2" s="339"/>
    </row>
    <row r="3" spans="2:20" s="336" customFormat="1" ht="17.25" customHeight="1">
      <c r="B3" s="368" t="str">
        <f>Radicals!C3</f>
        <v>a</v>
      </c>
      <c r="C3" s="342" t="s">
        <v>0</v>
      </c>
      <c r="D3" s="342" t="s">
        <v>298</v>
      </c>
      <c r="E3" s="342" t="s">
        <v>1114</v>
      </c>
      <c r="F3" s="343"/>
      <c r="G3" s="342" t="s">
        <v>1125</v>
      </c>
      <c r="H3" s="342" t="s">
        <v>135</v>
      </c>
      <c r="I3" s="342" t="s">
        <v>114</v>
      </c>
      <c r="J3" s="342" t="s">
        <v>1129</v>
      </c>
      <c r="K3" s="343"/>
      <c r="L3" s="342" t="s">
        <v>1138</v>
      </c>
      <c r="M3" s="344" t="s">
        <v>1148</v>
      </c>
      <c r="N3" s="343"/>
      <c r="O3" s="342" t="s">
        <v>1158</v>
      </c>
      <c r="T3" s="340"/>
    </row>
    <row r="4" spans="2:20" ht="13.5" thickBot="1">
      <c r="B4" s="369">
        <f>Radicals!C4</f>
        <v>0</v>
      </c>
      <c r="C4" s="328" t="str">
        <f>Radicals!D4</f>
        <v>Inversion</v>
      </c>
      <c r="D4" s="329">
        <f>Radicals!E4</f>
        <v>0</v>
      </c>
      <c r="E4" s="329" t="str">
        <f>Radicals!F4</f>
        <v>Solid</v>
      </c>
      <c r="F4" s="327"/>
      <c r="G4" s="329">
        <f>Radicals!H4</f>
        <v>0</v>
      </c>
      <c r="H4" s="329" t="str">
        <f>Radicals!I4</f>
        <v>Cycle</v>
      </c>
      <c r="I4" s="328" t="str">
        <f>Radicals!J4</f>
        <v>Mind</v>
      </c>
      <c r="J4" s="329" t="str">
        <f>Radicals!K4</f>
        <v>Law</v>
      </c>
      <c r="K4" s="327"/>
      <c r="L4" s="329" t="str">
        <f>Radicals!M4</f>
        <v>Me</v>
      </c>
      <c r="M4" s="330" t="str">
        <f>Radicals!N4</f>
        <v>Reciprocal</v>
      </c>
      <c r="N4" s="327"/>
      <c r="O4" s="329">
        <f>Radicals!P4</f>
        <v>0</v>
      </c>
      <c r="R4"/>
      <c r="S4"/>
      <c r="T4" s="339"/>
    </row>
    <row r="5" spans="2:20" ht="17.25" customHeight="1">
      <c r="B5" s="368" t="str">
        <f>Radicals!C5</f>
        <v>o</v>
      </c>
      <c r="C5" s="342" t="s">
        <v>304</v>
      </c>
      <c r="D5" s="342" t="s">
        <v>311</v>
      </c>
      <c r="E5" s="342" t="s">
        <v>307</v>
      </c>
      <c r="F5" s="343"/>
      <c r="G5" s="342"/>
      <c r="H5" s="342" t="s">
        <v>146</v>
      </c>
      <c r="I5" s="342" t="s">
        <v>141</v>
      </c>
      <c r="J5" s="342" t="s">
        <v>1130</v>
      </c>
      <c r="K5" s="343"/>
      <c r="L5" s="342" t="s">
        <v>1139</v>
      </c>
      <c r="M5" s="344" t="s">
        <v>1149</v>
      </c>
      <c r="N5" s="343"/>
      <c r="O5" s="342" t="s">
        <v>1159</v>
      </c>
      <c r="R5" s="131" t="str">
        <f>C4</f>
        <v>Inversion</v>
      </c>
      <c r="S5" s="337" t="s">
        <v>1168</v>
      </c>
      <c r="T5" s="346" t="str">
        <f>C3</f>
        <v>A</v>
      </c>
    </row>
    <row r="6" spans="2:20" ht="13.5" thickBot="1">
      <c r="B6" s="369">
        <f>Radicals!C6</f>
        <v>0</v>
      </c>
      <c r="C6" s="328" t="str">
        <f>Radicals!D6</f>
        <v>Negation</v>
      </c>
      <c r="D6" s="329">
        <f>Radicals!E6</f>
        <v>0</v>
      </c>
      <c r="E6" s="329">
        <f>Radicals!F6</f>
        <v>0</v>
      </c>
      <c r="F6" s="327"/>
      <c r="G6" s="329">
        <f>Radicals!H6</f>
        <v>0</v>
      </c>
      <c r="H6" s="329" t="str">
        <f>Radicals!I6</f>
        <v>Combination</v>
      </c>
      <c r="I6" s="328" t="str">
        <f>Radicals!J6</f>
        <v>Heart</v>
      </c>
      <c r="J6" s="329" t="str">
        <f>Radicals!K6</f>
        <v>Choice</v>
      </c>
      <c r="K6" s="327"/>
      <c r="L6" s="328" t="str">
        <f>Radicals!M6</f>
        <v>Inside</v>
      </c>
      <c r="M6" s="330" t="str">
        <f>Radicals!N6</f>
        <v>More</v>
      </c>
      <c r="N6" s="327"/>
      <c r="O6" s="329">
        <f>Radicals!P6</f>
        <v>0</v>
      </c>
      <c r="R6" s="131" t="str">
        <f>C6</f>
        <v>Negation</v>
      </c>
      <c r="S6" s="337" t="s">
        <v>1169</v>
      </c>
      <c r="T6" s="346" t="str">
        <f>C5</f>
        <v>B</v>
      </c>
    </row>
    <row r="7" spans="2:20" ht="17.25" customHeight="1">
      <c r="B7" s="368" t="str">
        <f>Radicals!C7</f>
        <v>i</v>
      </c>
      <c r="C7" s="342" t="s">
        <v>795</v>
      </c>
      <c r="D7" s="342" t="s">
        <v>312</v>
      </c>
      <c r="E7" s="342" t="s">
        <v>313</v>
      </c>
      <c r="F7" s="343"/>
      <c r="G7" s="342" t="s">
        <v>134</v>
      </c>
      <c r="H7" s="342" t="s">
        <v>142</v>
      </c>
      <c r="I7" s="342" t="s">
        <v>137</v>
      </c>
      <c r="J7" s="342" t="s">
        <v>1260</v>
      </c>
      <c r="K7" s="343"/>
      <c r="L7" s="342" t="s">
        <v>1140</v>
      </c>
      <c r="M7" s="344" t="s">
        <v>1150</v>
      </c>
      <c r="N7" s="343"/>
      <c r="O7" s="342" t="s">
        <v>1160</v>
      </c>
      <c r="R7" s="131" t="str">
        <f>C8</f>
        <v>Sound</v>
      </c>
      <c r="S7" s="337" t="s">
        <v>1170</v>
      </c>
      <c r="T7" s="346" t="str">
        <f>C7</f>
        <v>C</v>
      </c>
    </row>
    <row r="8" spans="2:20" ht="13.5" thickBot="1">
      <c r="B8" s="369">
        <f>Radicals!C8</f>
        <v>0</v>
      </c>
      <c r="C8" s="329" t="str">
        <f>Radicals!D8</f>
        <v>Sound</v>
      </c>
      <c r="D8" s="328" t="str">
        <f>Radicals!E8</f>
        <v>New</v>
      </c>
      <c r="E8" s="329">
        <f>Radicals!F8</f>
        <v>0</v>
      </c>
      <c r="F8" s="327"/>
      <c r="G8" s="328" t="str">
        <f>Radicals!H8</f>
        <v>Transcendance</v>
      </c>
      <c r="H8" s="328" t="str">
        <f>Radicals!I8</f>
        <v>Contribution</v>
      </c>
      <c r="I8" s="328" t="str">
        <f>Radicals!J8</f>
        <v>Body</v>
      </c>
      <c r="J8" s="329" t="str">
        <f>Radicals!K8</f>
        <v>Question</v>
      </c>
      <c r="K8" s="327"/>
      <c r="L8" s="332" t="str">
        <f>Radicals!M8</f>
        <v>Proximity</v>
      </c>
      <c r="M8" s="331" t="str">
        <f>Radicals!N8</f>
        <v>Magnitude</v>
      </c>
      <c r="N8" s="327"/>
      <c r="O8" s="329">
        <f>Radicals!P8</f>
        <v>0</v>
      </c>
      <c r="R8" s="131" t="str">
        <f>C10</f>
        <v>Call</v>
      </c>
      <c r="S8" s="337" t="s">
        <v>1171</v>
      </c>
      <c r="T8" s="346" t="str">
        <f>C9</f>
        <v>D</v>
      </c>
    </row>
    <row r="9" spans="2:20" ht="17.25" customHeight="1">
      <c r="B9" s="368" t="str">
        <f>Radicals!C9</f>
        <v>u</v>
      </c>
      <c r="C9" s="342" t="s">
        <v>305</v>
      </c>
      <c r="D9" s="342" t="s">
        <v>302</v>
      </c>
      <c r="E9" s="342" t="s">
        <v>331</v>
      </c>
      <c r="F9" s="343"/>
      <c r="G9" s="342" t="s">
        <v>150</v>
      </c>
      <c r="H9" s="342" t="s">
        <v>118</v>
      </c>
      <c r="I9" s="342" t="s">
        <v>147</v>
      </c>
      <c r="J9" s="342" t="s">
        <v>1131</v>
      </c>
      <c r="K9" s="343"/>
      <c r="L9" s="342" t="s">
        <v>1141</v>
      </c>
      <c r="M9" s="344" t="s">
        <v>1151</v>
      </c>
      <c r="N9" s="343"/>
      <c r="O9" s="342" t="s">
        <v>1161</v>
      </c>
      <c r="R9" s="131" t="str">
        <f>C12</f>
        <v>Information</v>
      </c>
      <c r="S9" s="337" t="s">
        <v>1172</v>
      </c>
      <c r="T9" s="346" t="str">
        <f>C11</f>
        <v>E</v>
      </c>
    </row>
    <row r="10" spans="2:20" ht="13.5" thickBot="1">
      <c r="B10" s="369">
        <f>Radicals!C10</f>
        <v>0</v>
      </c>
      <c r="C10" s="329" t="str">
        <f>Radicals!D10</f>
        <v>Call</v>
      </c>
      <c r="D10" s="333" t="str">
        <f>Radicals!E10</f>
        <v>Origin</v>
      </c>
      <c r="E10" s="329">
        <f>Radicals!F10</f>
        <v>0</v>
      </c>
      <c r="F10" s="327"/>
      <c r="G10" s="328" t="str">
        <f>Radicals!H10</f>
        <v>Quality</v>
      </c>
      <c r="H10" s="328" t="str">
        <f>Radicals!I10</f>
        <v>Cross</v>
      </c>
      <c r="I10" s="329">
        <f>Radicals!J10</f>
        <v>0</v>
      </c>
      <c r="J10" s="329">
        <f>Radicals!K10</f>
        <v>0</v>
      </c>
      <c r="K10" s="327"/>
      <c r="L10" s="328" t="str">
        <f>Radicals!M10</f>
        <v>Equality</v>
      </c>
      <c r="M10" s="329" t="str">
        <f>Radicals!N10</f>
        <v>Quantity</v>
      </c>
      <c r="N10" s="327"/>
      <c r="O10" s="329">
        <f>Radicals!P10</f>
        <v>0</v>
      </c>
      <c r="R10" s="131" t="str">
        <f>C16</f>
        <v>Satisfaction</v>
      </c>
      <c r="S10" s="337" t="s">
        <v>1173</v>
      </c>
      <c r="T10" s="346" t="str">
        <f>C15</f>
        <v>F</v>
      </c>
    </row>
    <row r="11" spans="2:20" ht="19.5">
      <c r="B11" s="368" t="str">
        <f>Radicals!C11</f>
        <v>e</v>
      </c>
      <c r="C11" s="342" t="s">
        <v>1</v>
      </c>
      <c r="D11" s="342" t="s">
        <v>1115</v>
      </c>
      <c r="E11" s="342" t="s">
        <v>303</v>
      </c>
      <c r="F11" s="343"/>
      <c r="G11" s="342" t="s">
        <v>995</v>
      </c>
      <c r="H11" s="342" t="s">
        <v>115</v>
      </c>
      <c r="I11" s="342" t="s">
        <v>145</v>
      </c>
      <c r="J11" s="342" t="s">
        <v>1132</v>
      </c>
      <c r="K11" s="343"/>
      <c r="L11" s="342" t="s">
        <v>1142</v>
      </c>
      <c r="M11" s="344" t="s">
        <v>1152</v>
      </c>
      <c r="N11" s="343"/>
      <c r="O11" s="342" t="s">
        <v>1162</v>
      </c>
      <c r="R11" s="131" t="str">
        <f>C18</f>
        <v>Good</v>
      </c>
      <c r="S11" s="337" t="s">
        <v>1174</v>
      </c>
      <c r="T11" s="346" t="str">
        <f>C17</f>
        <v>G</v>
      </c>
    </row>
    <row r="12" spans="2:20" ht="13.5" thickBot="1">
      <c r="B12" s="369">
        <f>Radicals!C12</f>
        <v>0</v>
      </c>
      <c r="C12" s="329" t="str">
        <f>Radicals!D12</f>
        <v>Information</v>
      </c>
      <c r="D12" s="328" t="str">
        <f>Radicals!E12</f>
        <v>Belong</v>
      </c>
      <c r="E12" s="329" t="str">
        <f>Radicals!F12</f>
        <v>Tool</v>
      </c>
      <c r="F12" s="327"/>
      <c r="G12" s="329" t="str">
        <f>Radicals!H12</f>
        <v>Property</v>
      </c>
      <c r="H12" s="329" t="str">
        <f>Radicals!I12</f>
        <v>Trend</v>
      </c>
      <c r="I12" s="329" t="str">
        <f>Radicals!J12</f>
        <v>Past</v>
      </c>
      <c r="J12" s="329" t="str">
        <f>Radicals!K12</f>
        <v>Condition</v>
      </c>
      <c r="K12" s="327"/>
      <c r="L12" s="328" t="str">
        <f>Radicals!M12</f>
        <v>Thing</v>
      </c>
      <c r="M12" s="328" t="str">
        <f>Radicals!N12</f>
        <v>Group</v>
      </c>
      <c r="N12" s="327"/>
      <c r="O12" s="328" t="str">
        <f>Radicals!P12</f>
        <v>JOKER</v>
      </c>
      <c r="R12" s="131" t="str">
        <f>C20</f>
        <v>Light</v>
      </c>
      <c r="S12" s="337" t="s">
        <v>1175</v>
      </c>
      <c r="T12" s="346" t="str">
        <f>C19</f>
        <v>H</v>
      </c>
    </row>
    <row r="13" spans="2:20" ht="15" thickBot="1">
      <c r="B13" s="41"/>
      <c r="C13" s="6"/>
      <c r="D13" s="6"/>
      <c r="E13" s="6"/>
      <c r="F13" s="5"/>
      <c r="G13" s="6"/>
      <c r="H13" s="6"/>
      <c r="I13" s="6"/>
      <c r="J13" s="7"/>
      <c r="K13" s="5"/>
      <c r="L13" s="7"/>
      <c r="M13" s="6"/>
      <c r="N13" s="5"/>
      <c r="O13" s="6"/>
      <c r="R13" s="131" t="str">
        <f>C22</f>
        <v>Value</v>
      </c>
      <c r="S13" s="337" t="s">
        <v>1176</v>
      </c>
      <c r="T13" s="346" t="str">
        <f>C21</f>
        <v>I</v>
      </c>
    </row>
    <row r="14" spans="2:20" ht="15.75" thickBot="1">
      <c r="B14" s="40">
        <f>Radicals!C14</f>
        <v>0</v>
      </c>
      <c r="C14" s="39" t="str">
        <f>Radicals!D14</f>
        <v>b</v>
      </c>
      <c r="D14" s="38" t="str">
        <f>Radicals!E14</f>
        <v>d</v>
      </c>
      <c r="E14" s="39" t="str">
        <f>Radicals!F14</f>
        <v>g</v>
      </c>
      <c r="F14" s="5"/>
      <c r="G14" s="39" t="str">
        <f>Radicals!H14</f>
        <v>v</v>
      </c>
      <c r="H14" s="39" t="str">
        <f>Radicals!I14</f>
        <v>z</v>
      </c>
      <c r="I14" s="38" t="str">
        <f>Radicals!J14</f>
        <v>j</v>
      </c>
      <c r="J14" s="39" t="str">
        <f>Radicals!K14</f>
        <v>r</v>
      </c>
      <c r="K14" s="35"/>
      <c r="L14" s="39" t="str">
        <f>Radicals!M14</f>
        <v>m</v>
      </c>
      <c r="M14" s="39" t="str">
        <f>Radicals!N14</f>
        <v>w</v>
      </c>
      <c r="N14" s="35"/>
      <c r="O14" s="39" t="str">
        <f>Radicals!P14</f>
        <v>l</v>
      </c>
      <c r="R14" s="131" t="str">
        <f>C24</f>
        <v>Cosmos</v>
      </c>
      <c r="S14" s="337" t="s">
        <v>706</v>
      </c>
      <c r="T14" s="346" t="str">
        <f>C23</f>
        <v>J</v>
      </c>
    </row>
    <row r="15" spans="2:20" ht="16.5" customHeight="1">
      <c r="B15" s="368" t="str">
        <f>Radicals!C15</f>
        <v>a</v>
      </c>
      <c r="C15" s="342" t="s">
        <v>299</v>
      </c>
      <c r="D15" s="342" t="s">
        <v>296</v>
      </c>
      <c r="E15" s="342" t="s">
        <v>308</v>
      </c>
      <c r="F15" s="343"/>
      <c r="G15" s="342" t="s">
        <v>149</v>
      </c>
      <c r="H15" s="342" t="s">
        <v>27</v>
      </c>
      <c r="I15" s="342" t="s">
        <v>154</v>
      </c>
      <c r="J15" s="342" t="s">
        <v>1133</v>
      </c>
      <c r="K15" s="343"/>
      <c r="L15" s="342" t="s">
        <v>1143</v>
      </c>
      <c r="M15" s="344" t="s">
        <v>1153</v>
      </c>
      <c r="N15" s="343"/>
      <c r="O15" s="342" t="s">
        <v>1163</v>
      </c>
      <c r="P15" s="42" t="s">
        <v>770</v>
      </c>
      <c r="R15" s="131">
        <f>D4</f>
        <v>0</v>
      </c>
      <c r="S15" s="337" t="s">
        <v>1177</v>
      </c>
      <c r="T15" s="346" t="str">
        <f>D3</f>
        <v>K</v>
      </c>
    </row>
    <row r="16" spans="2:20" ht="13.5" thickBot="1">
      <c r="B16" s="369">
        <f>Radicals!C16</f>
        <v>0</v>
      </c>
      <c r="C16" s="329" t="str">
        <f>Radicals!D16</f>
        <v>Satisfaction</v>
      </c>
      <c r="D16" s="329">
        <f>Radicals!E16</f>
        <v>0</v>
      </c>
      <c r="E16" s="329">
        <f>Radicals!F16</f>
        <v>0</v>
      </c>
      <c r="F16" s="327"/>
      <c r="G16" s="328" t="str">
        <f>Radicals!H16</f>
        <v>Gas</v>
      </c>
      <c r="H16" s="329" t="str">
        <f>Radicals!I16</f>
        <v>Liquid</v>
      </c>
      <c r="I16" s="329">
        <f>Radicals!J16</f>
        <v>0</v>
      </c>
      <c r="J16" s="334" t="str">
        <f>Radicals!K16</f>
        <v>Author</v>
      </c>
      <c r="K16" s="327"/>
      <c r="L16" s="329" t="str">
        <f>Radicals!M16</f>
        <v>You</v>
      </c>
      <c r="M16" s="329" t="str">
        <f>Radicals!N16</f>
        <v>Self</v>
      </c>
      <c r="N16" s="327"/>
      <c r="O16" s="329" t="str">
        <f>Radicals!P16</f>
        <v>Space</v>
      </c>
      <c r="R16" s="131">
        <f>D6</f>
        <v>0</v>
      </c>
      <c r="S16" s="337" t="s">
        <v>215</v>
      </c>
      <c r="T16" s="346" t="str">
        <f>D5</f>
        <v>L</v>
      </c>
    </row>
    <row r="17" spans="2:20" ht="16.5" customHeight="1">
      <c r="B17" s="368" t="str">
        <f>Radicals!C17</f>
        <v>o</v>
      </c>
      <c r="C17" s="342" t="s">
        <v>306</v>
      </c>
      <c r="D17" s="342" t="s">
        <v>1121</v>
      </c>
      <c r="E17" s="342" t="s">
        <v>1122</v>
      </c>
      <c r="F17" s="343"/>
      <c r="G17" s="342" t="s">
        <v>138</v>
      </c>
      <c r="H17" s="342" t="s">
        <v>136</v>
      </c>
      <c r="I17" s="342" t="s">
        <v>119</v>
      </c>
      <c r="J17" s="342" t="s">
        <v>1134</v>
      </c>
      <c r="K17" s="343"/>
      <c r="L17" s="342" t="s">
        <v>1144</v>
      </c>
      <c r="M17" s="344" t="s">
        <v>1154</v>
      </c>
      <c r="N17" s="343"/>
      <c r="O17" s="342" t="s">
        <v>1164</v>
      </c>
      <c r="R17" s="131" t="str">
        <f>D8</f>
        <v>New</v>
      </c>
      <c r="S17" s="337" t="s">
        <v>1178</v>
      </c>
      <c r="T17" s="346" t="str">
        <f>D7</f>
        <v>M</v>
      </c>
    </row>
    <row r="18" spans="2:20" ht="13.5" thickBot="1">
      <c r="B18" s="369">
        <f>Radicals!C18</f>
        <v>0</v>
      </c>
      <c r="C18" s="329" t="str">
        <f>Radicals!D18</f>
        <v>Good</v>
      </c>
      <c r="D18" s="329">
        <f>Radicals!E18</f>
        <v>0</v>
      </c>
      <c r="E18" s="329">
        <f>Radicals!F18</f>
        <v>0</v>
      </c>
      <c r="F18" s="327"/>
      <c r="G18" s="329">
        <f>Radicals!H18</f>
        <v>0</v>
      </c>
      <c r="H18" s="329" t="str">
        <f>Radicals!I18</f>
        <v>Life</v>
      </c>
      <c r="I18" s="329">
        <f>Radicals!J18</f>
        <v>0</v>
      </c>
      <c r="J18" s="334" t="str">
        <f>Radicals!K18</f>
        <v>Power</v>
      </c>
      <c r="K18" s="327"/>
      <c r="L18" s="328" t="str">
        <f>Radicals!M18</f>
        <v>Connection</v>
      </c>
      <c r="M18" s="329">
        <f>Radicals!N18</f>
        <v>0</v>
      </c>
      <c r="N18" s="327"/>
      <c r="O18" s="329">
        <f>Radicals!P18</f>
        <v>0</v>
      </c>
      <c r="R18" s="131" t="str">
        <f>D10</f>
        <v>Origin</v>
      </c>
      <c r="S18" s="337" t="s">
        <v>1179</v>
      </c>
      <c r="T18" s="346" t="str">
        <f>D9</f>
        <v>N</v>
      </c>
    </row>
    <row r="19" spans="2:20" ht="16.5" customHeight="1">
      <c r="B19" s="368" t="str">
        <f>Radicals!C19</f>
        <v>i</v>
      </c>
      <c r="C19" s="342" t="s">
        <v>301</v>
      </c>
      <c r="D19" s="342" t="s">
        <v>310</v>
      </c>
      <c r="E19" s="342" t="s">
        <v>1123</v>
      </c>
      <c r="F19" s="343"/>
      <c r="G19" s="342" t="s">
        <v>143</v>
      </c>
      <c r="H19" s="342" t="s">
        <v>140</v>
      </c>
      <c r="I19" s="342" t="s">
        <v>116</v>
      </c>
      <c r="J19" s="342" t="s">
        <v>1135</v>
      </c>
      <c r="K19" s="343"/>
      <c r="L19" s="342" t="s">
        <v>1145</v>
      </c>
      <c r="M19" s="344" t="s">
        <v>1155</v>
      </c>
      <c r="N19" s="343"/>
      <c r="O19" s="342" t="s">
        <v>1165</v>
      </c>
      <c r="R19" s="131" t="str">
        <f>D12</f>
        <v>Belong</v>
      </c>
      <c r="S19" s="337" t="s">
        <v>1180</v>
      </c>
      <c r="T19" s="346" t="str">
        <f>D11</f>
        <v>O</v>
      </c>
    </row>
    <row r="20" spans="2:20" ht="13.5" thickBot="1">
      <c r="B20" s="369">
        <f>Radicals!C20</f>
        <v>0</v>
      </c>
      <c r="C20" s="329" t="str">
        <f>Radicals!D20</f>
        <v>Light</v>
      </c>
      <c r="D20" s="335" t="str">
        <f>Radicals!E20</f>
        <v>Existence</v>
      </c>
      <c r="E20" s="332" t="str">
        <f>Radicals!F20</f>
        <v>Relation</v>
      </c>
      <c r="F20" s="327"/>
      <c r="G20" s="329">
        <f>Radicals!H20</f>
        <v>0</v>
      </c>
      <c r="H20" s="328" t="str">
        <f>Radicals!I20</f>
        <v>Female</v>
      </c>
      <c r="I20" s="332" t="str">
        <f>Radicals!J20</f>
        <v>Neutrality</v>
      </c>
      <c r="J20" s="329">
        <f>Radicals!K20</f>
        <v>0</v>
      </c>
      <c r="K20" s="327"/>
      <c r="L20" s="329" t="str">
        <f>Radicals!M20</f>
        <v>Show</v>
      </c>
      <c r="M20" s="332" t="str">
        <f>Radicals!N20</f>
        <v>Whole</v>
      </c>
      <c r="N20" s="327"/>
      <c r="O20" s="328" t="str">
        <f>Radicals!P20</f>
        <v>Electricity</v>
      </c>
      <c r="R20" s="131">
        <f>D16</f>
        <v>0</v>
      </c>
      <c r="S20" s="337" t="s">
        <v>1181</v>
      </c>
      <c r="T20" s="346" t="str">
        <f>D15</f>
        <v>P</v>
      </c>
    </row>
    <row r="21" spans="2:20" ht="16.5" customHeight="1">
      <c r="B21" s="368" t="str">
        <f>Radicals!C21</f>
        <v>u</v>
      </c>
      <c r="C21" s="342" t="s">
        <v>2</v>
      </c>
      <c r="D21" s="342" t="s">
        <v>300</v>
      </c>
      <c r="E21" s="342" t="s">
        <v>1124</v>
      </c>
      <c r="F21" s="343"/>
      <c r="G21" s="342" t="s">
        <v>148</v>
      </c>
      <c r="H21" s="342" t="s">
        <v>1126</v>
      </c>
      <c r="I21" s="342" t="s">
        <v>1127</v>
      </c>
      <c r="J21" s="342" t="s">
        <v>1136</v>
      </c>
      <c r="K21" s="343"/>
      <c r="L21" s="342" t="s">
        <v>1146</v>
      </c>
      <c r="M21" s="344" t="s">
        <v>1156</v>
      </c>
      <c r="N21" s="343"/>
      <c r="O21" s="342" t="s">
        <v>1166</v>
      </c>
      <c r="R21" s="131">
        <f>D18</f>
        <v>0</v>
      </c>
      <c r="S21" s="337" t="s">
        <v>229</v>
      </c>
      <c r="T21" s="346" t="str">
        <f>D17</f>
        <v>Q</v>
      </c>
    </row>
    <row r="22" spans="2:20" ht="13.5" thickBot="1">
      <c r="B22" s="369">
        <f>Radicals!C22</f>
        <v>0</v>
      </c>
      <c r="C22" s="329" t="str">
        <f>Radicals!D22</f>
        <v>Value</v>
      </c>
      <c r="D22" s="329">
        <f>Radicals!E22</f>
        <v>0</v>
      </c>
      <c r="E22" s="329">
        <f>Radicals!F22</f>
        <v>0</v>
      </c>
      <c r="F22" s="327"/>
      <c r="G22" s="329">
        <f>Radicals!H22</f>
        <v>0</v>
      </c>
      <c r="H22" s="328" t="str">
        <f>Radicals!I22</f>
        <v>Human</v>
      </c>
      <c r="I22" s="329">
        <f>Radicals!J22</f>
        <v>0</v>
      </c>
      <c r="J22" s="329">
        <f>Radicals!K22</f>
        <v>0</v>
      </c>
      <c r="K22" s="327"/>
      <c r="L22" s="329">
        <f>Radicals!M22</f>
        <v>0</v>
      </c>
      <c r="M22" s="329">
        <f>Radicals!N22</f>
        <v>0</v>
      </c>
      <c r="N22" s="327"/>
      <c r="O22" s="329">
        <f>Radicals!P22</f>
        <v>0</v>
      </c>
      <c r="R22" s="131" t="str">
        <f>D20</f>
        <v>Existence</v>
      </c>
      <c r="S22" s="337" t="s">
        <v>1182</v>
      </c>
      <c r="T22" s="346" t="str">
        <f>D19</f>
        <v>R</v>
      </c>
    </row>
    <row r="23" spans="2:20" ht="19.5">
      <c r="B23" s="368" t="str">
        <f>Radicals!C23</f>
        <v>e</v>
      </c>
      <c r="C23" s="342" t="s">
        <v>309</v>
      </c>
      <c r="D23" s="342" t="s">
        <v>297</v>
      </c>
      <c r="E23" s="342"/>
      <c r="F23" s="343"/>
      <c r="G23" s="342" t="s">
        <v>139</v>
      </c>
      <c r="H23" s="342" t="s">
        <v>117</v>
      </c>
      <c r="I23" s="342" t="s">
        <v>1128</v>
      </c>
      <c r="J23" s="342" t="s">
        <v>1137</v>
      </c>
      <c r="K23" s="343"/>
      <c r="L23" s="342" t="s">
        <v>1147</v>
      </c>
      <c r="M23" s="344" t="s">
        <v>1157</v>
      </c>
      <c r="N23" s="343"/>
      <c r="O23" s="342" t="s">
        <v>1167</v>
      </c>
      <c r="R23" s="131">
        <f>D22</f>
        <v>0</v>
      </c>
      <c r="S23" s="337" t="s">
        <v>1183</v>
      </c>
      <c r="T23" s="346" t="str">
        <f>D21</f>
        <v>S</v>
      </c>
    </row>
    <row r="24" spans="2:20" ht="13.5" thickBot="1">
      <c r="B24" s="369">
        <f>Radicals!C24</f>
        <v>0</v>
      </c>
      <c r="C24" s="329" t="str">
        <f>Radicals!D24</f>
        <v>Cosmos</v>
      </c>
      <c r="D24" s="329">
        <f>Radicals!E24</f>
        <v>0</v>
      </c>
      <c r="E24" s="329">
        <f>Radicals!F24</f>
        <v>0</v>
      </c>
      <c r="F24" s="327"/>
      <c r="G24" s="329" t="str">
        <f>Radicals!H24</f>
        <v>Manner</v>
      </c>
      <c r="H24" s="329" t="str">
        <f>Radicals!I24</f>
        <v>Will</v>
      </c>
      <c r="I24" s="329">
        <f>Radicals!J24</f>
        <v>0</v>
      </c>
      <c r="J24" s="334" t="str">
        <f>Radicals!K24</f>
        <v>Action</v>
      </c>
      <c r="K24" s="327"/>
      <c r="L24" s="328" t="str">
        <f>Radicals!M24</f>
        <v>Objet</v>
      </c>
      <c r="M24" s="328" t="str">
        <f>Radicals!N24</f>
        <v>Element</v>
      </c>
      <c r="N24" s="327"/>
      <c r="O24" s="328" t="str">
        <f>Radicals!P24</f>
        <v>Time</v>
      </c>
      <c r="R24" s="131">
        <f>D24</f>
        <v>0</v>
      </c>
      <c r="S24" s="337" t="s">
        <v>1184</v>
      </c>
      <c r="T24" s="346" t="str">
        <f>D23</f>
        <v>T</v>
      </c>
    </row>
    <row r="25" spans="2:20">
      <c r="R25" s="131" t="str">
        <f>E4</f>
        <v>Solid</v>
      </c>
      <c r="S25" s="337" t="s">
        <v>1185</v>
      </c>
      <c r="T25" s="346" t="str">
        <f>E3</f>
        <v>U</v>
      </c>
    </row>
    <row r="26" spans="2:20" ht="13.5" thickBot="1">
      <c r="R26" s="131">
        <f>E6</f>
        <v>0</v>
      </c>
      <c r="S26" s="337" t="s">
        <v>1186</v>
      </c>
      <c r="T26" s="346" t="str">
        <f>E5</f>
        <v>V</v>
      </c>
    </row>
    <row r="27" spans="2:20" ht="12.75" customHeight="1">
      <c r="B27" s="373" t="str">
        <f>Text!B13</f>
        <v>&lt;restepen buwif roxayt wizut&gt; wi zuyn mesezoc royf nubutuneyf nuroxayf. mizuyn mesfeceyf fucam so fuwacam, so parol rer se yan zunutuzov.</v>
      </c>
      <c r="C27" s="374"/>
      <c r="D27" s="374"/>
      <c r="E27" s="375"/>
      <c r="G27" s="382" t="str">
        <f>CONCATENATE(O27,O43,O59,O75,O91,O107)</f>
        <v>&lt;¨mOE®/I»c/¥}¸O/»qO&gt;/»/q¸®/³mow/¥¸c/¬IN®¸c/¬¥}¸c./±q¸®/³mcw¸c/bs³/j/b¹s³,/j/A¥Ç/¨¨/m/´®/q¬Noh.</v>
      </c>
      <c r="H27" s="383"/>
      <c r="I27" s="384"/>
      <c r="K27">
        <v>1</v>
      </c>
      <c r="L27">
        <f>IF(OR(MID($B$27,K27+1,1)="a",MID($B$27,K27+1,1)="i",MID($B$27,K27+1,1)="o",MID($B$27,K27+1,1)="u",MID($B$27,K27+1,1)="e"),2,1)</f>
        <v>1</v>
      </c>
      <c r="M27" t="str">
        <f>MID($B$27,K27,L27)</f>
        <v>&lt;</v>
      </c>
      <c r="N27" s="345" t="str">
        <f t="shared" ref="N27:N58" si="0">IFERROR(VLOOKUP(M27,$S$5:$T$121,2,FALSE),M27)</f>
        <v>&lt;</v>
      </c>
      <c r="O27" s="345" t="str">
        <f>CONCATENATE(N27,N28,N29,N30,N31,N32,N33,N34,N35,N36,N37,N38,N39,N40,N41,N42)</f>
        <v>&lt;¨mOE®/I»c/¥}¸O/</v>
      </c>
      <c r="R27" s="131">
        <f>E8</f>
        <v>0</v>
      </c>
      <c r="S27" s="337" t="s">
        <v>1187</v>
      </c>
      <c r="T27" s="346" t="str">
        <f>E7</f>
        <v>W</v>
      </c>
    </row>
    <row r="28" spans="2:20" ht="12.75" customHeight="1">
      <c r="B28" s="376"/>
      <c r="C28" s="377"/>
      <c r="D28" s="377"/>
      <c r="E28" s="378"/>
      <c r="G28" s="385"/>
      <c r="H28" s="386"/>
      <c r="I28" s="387"/>
      <c r="K28">
        <f>K27+L27</f>
        <v>2</v>
      </c>
      <c r="L28">
        <f t="shared" ref="L28:L91" si="1">IF(OR(MID($B$27,K28+1,1)="a",MID($B$27,K28+1,1)="i",MID($B$27,K28+1,1)="o",MID($B$27,K28+1,1)="u",MID($B$27,K28+1,1)="e"),2,1)</f>
        <v>2</v>
      </c>
      <c r="M28" t="str">
        <f t="shared" ref="M28:M34" si="2">MID($B$27,K28,L28)</f>
        <v>re</v>
      </c>
      <c r="N28" s="345" t="str">
        <f t="shared" si="0"/>
        <v>¨</v>
      </c>
      <c r="O28" s="345"/>
      <c r="R28" s="131">
        <f>E10</f>
        <v>0</v>
      </c>
      <c r="S28" s="337" t="s">
        <v>1188</v>
      </c>
      <c r="T28" s="346" t="str">
        <f>E9</f>
        <v>X</v>
      </c>
    </row>
    <row r="29" spans="2:20" ht="12.75" customHeight="1">
      <c r="B29" s="376"/>
      <c r="C29" s="377"/>
      <c r="D29" s="377"/>
      <c r="E29" s="378"/>
      <c r="G29" s="385"/>
      <c r="H29" s="386"/>
      <c r="I29" s="387"/>
      <c r="K29">
        <f t="shared" ref="K29:K34" si="3">K28+L28</f>
        <v>4</v>
      </c>
      <c r="L29">
        <f t="shared" si="1"/>
        <v>1</v>
      </c>
      <c r="M29" t="str">
        <f t="shared" si="2"/>
        <v>s</v>
      </c>
      <c r="N29" s="345" t="str">
        <f t="shared" si="0"/>
        <v>m</v>
      </c>
      <c r="O29" s="345"/>
      <c r="R29" s="131" t="str">
        <f>E12</f>
        <v>Tool</v>
      </c>
      <c r="S29" s="337" t="s">
        <v>1189</v>
      </c>
      <c r="T29" s="346" t="str">
        <f>E11</f>
        <v>Y</v>
      </c>
    </row>
    <row r="30" spans="2:20" ht="12.75" customHeight="1">
      <c r="B30" s="376"/>
      <c r="C30" s="377"/>
      <c r="D30" s="377"/>
      <c r="E30" s="378"/>
      <c r="G30" s="385"/>
      <c r="H30" s="386"/>
      <c r="I30" s="387"/>
      <c r="K30">
        <f t="shared" si="3"/>
        <v>5</v>
      </c>
      <c r="L30">
        <f t="shared" si="1"/>
        <v>2</v>
      </c>
      <c r="M30" t="str">
        <f t="shared" si="2"/>
        <v>te</v>
      </c>
      <c r="N30" s="345" t="str">
        <f t="shared" si="0"/>
        <v>O</v>
      </c>
      <c r="O30" s="345"/>
      <c r="R30" s="131">
        <f>E16</f>
        <v>0</v>
      </c>
      <c r="S30" s="337" t="s">
        <v>1190</v>
      </c>
      <c r="T30" s="346" t="str">
        <f>E15</f>
        <v>Z</v>
      </c>
    </row>
    <row r="31" spans="2:20" ht="12.75" customHeight="1">
      <c r="B31" s="376"/>
      <c r="C31" s="377"/>
      <c r="D31" s="377"/>
      <c r="E31" s="378"/>
      <c r="G31" s="385"/>
      <c r="H31" s="386"/>
      <c r="I31" s="387"/>
      <c r="K31">
        <f t="shared" si="3"/>
        <v>7</v>
      </c>
      <c r="L31">
        <f t="shared" si="1"/>
        <v>2</v>
      </c>
      <c r="M31" t="str">
        <f t="shared" si="2"/>
        <v>pe</v>
      </c>
      <c r="N31" s="345" t="str">
        <f t="shared" si="0"/>
        <v>E</v>
      </c>
      <c r="O31" s="345"/>
      <c r="R31" s="131">
        <f>E18</f>
        <v>0</v>
      </c>
      <c r="S31" s="337" t="s">
        <v>707</v>
      </c>
      <c r="T31" s="346" t="str">
        <f>E17</f>
        <v>[</v>
      </c>
    </row>
    <row r="32" spans="2:20" ht="12.75" customHeight="1">
      <c r="B32" s="376"/>
      <c r="C32" s="377"/>
      <c r="D32" s="377"/>
      <c r="E32" s="378"/>
      <c r="G32" s="385"/>
      <c r="H32" s="386"/>
      <c r="I32" s="387"/>
      <c r="K32">
        <f t="shared" si="3"/>
        <v>9</v>
      </c>
      <c r="L32">
        <f t="shared" si="1"/>
        <v>1</v>
      </c>
      <c r="M32" t="str">
        <f t="shared" si="2"/>
        <v>n</v>
      </c>
      <c r="N32" s="345" t="str">
        <f t="shared" si="0"/>
        <v>®</v>
      </c>
      <c r="O32" s="345"/>
      <c r="R32" s="131" t="str">
        <f>E20</f>
        <v>Relation</v>
      </c>
      <c r="S32" s="337" t="s">
        <v>1191</v>
      </c>
      <c r="T32" s="346" t="str">
        <f>E19</f>
        <v>\</v>
      </c>
    </row>
    <row r="33" spans="2:20" ht="12.75" customHeight="1">
      <c r="B33" s="376"/>
      <c r="C33" s="377"/>
      <c r="D33" s="377"/>
      <c r="E33" s="378"/>
      <c r="G33" s="385"/>
      <c r="H33" s="386"/>
      <c r="I33" s="387"/>
      <c r="K33">
        <f t="shared" si="3"/>
        <v>10</v>
      </c>
      <c r="L33">
        <f t="shared" si="1"/>
        <v>1</v>
      </c>
      <c r="M33" t="str">
        <f t="shared" si="2"/>
        <v xml:space="preserve"> </v>
      </c>
      <c r="N33" s="345" t="str">
        <f t="shared" si="0"/>
        <v>/</v>
      </c>
      <c r="O33" s="345"/>
      <c r="R33" s="131">
        <f>E22</f>
        <v>0</v>
      </c>
      <c r="S33" s="337" t="s">
        <v>1192</v>
      </c>
      <c r="T33" s="346" t="str">
        <f>E21</f>
        <v>]</v>
      </c>
    </row>
    <row r="34" spans="2:20" ht="13.5" customHeight="1">
      <c r="B34" s="376"/>
      <c r="C34" s="377"/>
      <c r="D34" s="377"/>
      <c r="E34" s="378"/>
      <c r="G34" s="385"/>
      <c r="H34" s="386"/>
      <c r="I34" s="387"/>
      <c r="K34">
        <f t="shared" si="3"/>
        <v>11</v>
      </c>
      <c r="L34">
        <f t="shared" si="1"/>
        <v>2</v>
      </c>
      <c r="M34" t="str">
        <f t="shared" si="2"/>
        <v>bu</v>
      </c>
      <c r="N34" s="345" t="str">
        <f t="shared" si="0"/>
        <v>I</v>
      </c>
      <c r="O34" s="345"/>
      <c r="R34" s="131">
        <f>E24</f>
        <v>0</v>
      </c>
      <c r="S34" s="337" t="s">
        <v>1193</v>
      </c>
      <c r="T34" s="346">
        <f>E23</f>
        <v>0</v>
      </c>
    </row>
    <row r="35" spans="2:20">
      <c r="B35" s="376"/>
      <c r="C35" s="377"/>
      <c r="D35" s="377"/>
      <c r="E35" s="378"/>
      <c r="G35" s="385"/>
      <c r="H35" s="386"/>
      <c r="I35" s="387"/>
      <c r="K35">
        <f t="shared" ref="K35:K46" si="4">K34+L34</f>
        <v>13</v>
      </c>
      <c r="L35">
        <f t="shared" si="1"/>
        <v>2</v>
      </c>
      <c r="M35" t="str">
        <f t="shared" ref="M35:M46" si="5">MID($B$27,K35,L35)</f>
        <v>wi</v>
      </c>
      <c r="N35" s="345" t="str">
        <f t="shared" si="0"/>
        <v>»</v>
      </c>
      <c r="O35" s="345"/>
      <c r="R35" s="131">
        <f>G4</f>
        <v>0</v>
      </c>
      <c r="S35" s="337" t="s">
        <v>1194</v>
      </c>
      <c r="T35" s="346" t="str">
        <f>G3</f>
        <v>^_</v>
      </c>
    </row>
    <row r="36" spans="2:20">
      <c r="B36" s="376"/>
      <c r="C36" s="377"/>
      <c r="D36" s="377"/>
      <c r="E36" s="378"/>
      <c r="G36" s="385"/>
      <c r="H36" s="386"/>
      <c r="I36" s="387"/>
      <c r="K36">
        <f t="shared" si="4"/>
        <v>15</v>
      </c>
      <c r="L36">
        <f t="shared" si="1"/>
        <v>1</v>
      </c>
      <c r="M36" t="str">
        <f t="shared" si="5"/>
        <v>f</v>
      </c>
      <c r="N36" s="345" t="str">
        <f t="shared" si="0"/>
        <v>c</v>
      </c>
      <c r="O36" s="345"/>
      <c r="R36" s="131">
        <f>G6</f>
        <v>0</v>
      </c>
      <c r="S36" s="337" t="s">
        <v>1195</v>
      </c>
      <c r="T36" s="346">
        <f>G5</f>
        <v>0</v>
      </c>
    </row>
    <row r="37" spans="2:20">
      <c r="B37" s="376"/>
      <c r="C37" s="377"/>
      <c r="D37" s="377"/>
      <c r="E37" s="378"/>
      <c r="G37" s="385"/>
      <c r="H37" s="386"/>
      <c r="I37" s="387"/>
      <c r="K37">
        <f t="shared" si="4"/>
        <v>16</v>
      </c>
      <c r="L37">
        <f t="shared" si="1"/>
        <v>1</v>
      </c>
      <c r="M37" t="str">
        <f t="shared" si="5"/>
        <v xml:space="preserve"> </v>
      </c>
      <c r="N37" s="345" t="str">
        <f t="shared" si="0"/>
        <v>/</v>
      </c>
      <c r="O37" s="345"/>
      <c r="R37" s="131" t="str">
        <f>G8</f>
        <v>Transcendance</v>
      </c>
      <c r="S37" s="337" t="s">
        <v>1196</v>
      </c>
      <c r="T37" s="346" t="str">
        <f>G7</f>
        <v>a</v>
      </c>
    </row>
    <row r="38" spans="2:20">
      <c r="B38" s="376"/>
      <c r="C38" s="377"/>
      <c r="D38" s="377"/>
      <c r="E38" s="378"/>
      <c r="G38" s="385"/>
      <c r="H38" s="386"/>
      <c r="I38" s="387"/>
      <c r="K38">
        <f t="shared" si="4"/>
        <v>17</v>
      </c>
      <c r="L38">
        <f t="shared" si="1"/>
        <v>2</v>
      </c>
      <c r="M38" t="str">
        <f t="shared" si="5"/>
        <v>ro</v>
      </c>
      <c r="N38" s="345" t="str">
        <f t="shared" si="0"/>
        <v>¥</v>
      </c>
      <c r="O38" s="345"/>
      <c r="R38" s="131" t="str">
        <f>G10</f>
        <v>Quality</v>
      </c>
      <c r="S38" s="337" t="s">
        <v>1197</v>
      </c>
      <c r="T38" s="346" t="str">
        <f>G9</f>
        <v>b</v>
      </c>
    </row>
    <row r="39" spans="2:20">
      <c r="B39" s="376"/>
      <c r="C39" s="377"/>
      <c r="D39" s="377"/>
      <c r="E39" s="378"/>
      <c r="G39" s="385"/>
      <c r="H39" s="386"/>
      <c r="I39" s="387"/>
      <c r="K39">
        <f t="shared" si="4"/>
        <v>19</v>
      </c>
      <c r="L39">
        <f t="shared" si="1"/>
        <v>2</v>
      </c>
      <c r="M39" t="str">
        <f t="shared" si="5"/>
        <v>xa</v>
      </c>
      <c r="N39" s="345" t="str">
        <f t="shared" si="0"/>
        <v>}</v>
      </c>
      <c r="O39" s="345"/>
      <c r="R39" s="131" t="str">
        <f>G12</f>
        <v>Property</v>
      </c>
      <c r="S39" s="337" t="s">
        <v>1198</v>
      </c>
      <c r="T39" s="346" t="str">
        <f>G11</f>
        <v>c</v>
      </c>
    </row>
    <row r="40" spans="2:20" ht="13.5" thickBot="1">
      <c r="B40" s="379"/>
      <c r="C40" s="380"/>
      <c r="D40" s="380"/>
      <c r="E40" s="381"/>
      <c r="G40" s="388"/>
      <c r="H40" s="389"/>
      <c r="I40" s="390"/>
      <c r="K40">
        <f t="shared" si="4"/>
        <v>21</v>
      </c>
      <c r="L40">
        <f t="shared" si="1"/>
        <v>1</v>
      </c>
      <c r="M40" t="str">
        <f t="shared" si="5"/>
        <v>y</v>
      </c>
      <c r="N40" s="345" t="str">
        <f t="shared" si="0"/>
        <v>¸</v>
      </c>
      <c r="O40" s="345"/>
      <c r="R40" s="131" t="str">
        <f>G16</f>
        <v>Gas</v>
      </c>
      <c r="S40" s="337" t="s">
        <v>1199</v>
      </c>
      <c r="T40" s="346" t="str">
        <f>G15</f>
        <v>d</v>
      </c>
    </row>
    <row r="41" spans="2:20">
      <c r="K41">
        <f t="shared" si="4"/>
        <v>22</v>
      </c>
      <c r="L41">
        <f t="shared" si="1"/>
        <v>1</v>
      </c>
      <c r="M41" t="str">
        <f t="shared" si="5"/>
        <v>t</v>
      </c>
      <c r="N41" s="345" t="str">
        <f t="shared" si="0"/>
        <v>O</v>
      </c>
      <c r="O41" s="345"/>
      <c r="R41" s="131">
        <f>G18</f>
        <v>0</v>
      </c>
      <c r="S41" s="337" t="s">
        <v>1200</v>
      </c>
      <c r="T41" s="346" t="str">
        <f>G17</f>
        <v>e</v>
      </c>
    </row>
    <row r="42" spans="2:20">
      <c r="K42">
        <f t="shared" si="4"/>
        <v>23</v>
      </c>
      <c r="L42">
        <f t="shared" si="1"/>
        <v>1</v>
      </c>
      <c r="M42" t="str">
        <f t="shared" si="5"/>
        <v xml:space="preserve"> </v>
      </c>
      <c r="N42" s="345" t="str">
        <f t="shared" si="0"/>
        <v>/</v>
      </c>
      <c r="O42" s="345"/>
      <c r="R42" s="131">
        <f>G20</f>
        <v>0</v>
      </c>
      <c r="S42" s="337" t="s">
        <v>1201</v>
      </c>
      <c r="T42" s="346" t="str">
        <f>G19</f>
        <v>f</v>
      </c>
    </row>
    <row r="43" spans="2:20">
      <c r="K43">
        <f t="shared" si="4"/>
        <v>24</v>
      </c>
      <c r="L43">
        <f t="shared" si="1"/>
        <v>2</v>
      </c>
      <c r="M43" t="str">
        <f t="shared" si="5"/>
        <v>wi</v>
      </c>
      <c r="N43" s="345" t="str">
        <f t="shared" si="0"/>
        <v>»</v>
      </c>
      <c r="O43" s="345" t="str">
        <f>CONCATENATE(N43,N44,N45,N46,N47,N48,N49,N50,N51,N52,N53,N54,N55,N56,N57,N58)</f>
        <v>»qO&gt;/»/q¸®/³mow/</v>
      </c>
      <c r="R43" s="131">
        <f>G22</f>
        <v>0</v>
      </c>
      <c r="S43" s="337" t="s">
        <v>1202</v>
      </c>
      <c r="T43" s="346" t="str">
        <f>G21</f>
        <v>g</v>
      </c>
    </row>
    <row r="44" spans="2:20">
      <c r="K44">
        <f t="shared" si="4"/>
        <v>26</v>
      </c>
      <c r="L44">
        <f t="shared" si="1"/>
        <v>2</v>
      </c>
      <c r="M44" t="str">
        <f t="shared" si="5"/>
        <v>zu</v>
      </c>
      <c r="N44" s="345" t="str">
        <f t="shared" si="0"/>
        <v>q</v>
      </c>
      <c r="O44" s="345"/>
      <c r="R44" s="131" t="str">
        <f>G24</f>
        <v>Manner</v>
      </c>
      <c r="S44" s="337" t="s">
        <v>1203</v>
      </c>
      <c r="T44" s="346" t="str">
        <f>G23</f>
        <v>h</v>
      </c>
    </row>
    <row r="45" spans="2:20">
      <c r="K45">
        <f t="shared" si="4"/>
        <v>28</v>
      </c>
      <c r="L45">
        <f t="shared" si="1"/>
        <v>1</v>
      </c>
      <c r="M45" t="str">
        <f t="shared" si="5"/>
        <v>t</v>
      </c>
      <c r="N45" s="345" t="str">
        <f t="shared" si="0"/>
        <v>O</v>
      </c>
      <c r="O45" s="345"/>
      <c r="R45" s="131" t="str">
        <f>H4</f>
        <v>Cycle</v>
      </c>
      <c r="S45" s="337" t="s">
        <v>1204</v>
      </c>
      <c r="T45" s="346" t="str">
        <f>H3</f>
        <v>i</v>
      </c>
    </row>
    <row r="46" spans="2:20">
      <c r="K46">
        <f t="shared" si="4"/>
        <v>29</v>
      </c>
      <c r="L46">
        <f t="shared" si="1"/>
        <v>1</v>
      </c>
      <c r="M46" t="str">
        <f t="shared" si="5"/>
        <v>&gt;</v>
      </c>
      <c r="N46" s="345" t="str">
        <f t="shared" si="0"/>
        <v>&gt;</v>
      </c>
      <c r="O46" s="345"/>
      <c r="R46" s="131" t="str">
        <f>H6</f>
        <v>Combination</v>
      </c>
      <c r="S46" s="337" t="s">
        <v>1205</v>
      </c>
      <c r="T46" s="346" t="str">
        <f>H5</f>
        <v>j</v>
      </c>
    </row>
    <row r="47" spans="2:20">
      <c r="K47">
        <f t="shared" ref="K47:K102" si="6">K46+L46</f>
        <v>30</v>
      </c>
      <c r="L47">
        <f t="shared" si="1"/>
        <v>1</v>
      </c>
      <c r="M47" t="str">
        <f t="shared" ref="M47:M102" si="7">MID($B$27,K47,L47)</f>
        <v xml:space="preserve"> </v>
      </c>
      <c r="N47" s="345" t="str">
        <f t="shared" si="0"/>
        <v>/</v>
      </c>
      <c r="O47" s="345"/>
      <c r="R47" s="131" t="str">
        <f>H8</f>
        <v>Contribution</v>
      </c>
      <c r="S47" s="337" t="s">
        <v>1206</v>
      </c>
      <c r="T47" s="346" t="str">
        <f>H7</f>
        <v>k</v>
      </c>
    </row>
    <row r="48" spans="2:20">
      <c r="K48">
        <f t="shared" si="6"/>
        <v>31</v>
      </c>
      <c r="L48">
        <f t="shared" si="1"/>
        <v>2</v>
      </c>
      <c r="M48" t="str">
        <f t="shared" si="7"/>
        <v>wi</v>
      </c>
      <c r="N48" s="345" t="str">
        <f t="shared" si="0"/>
        <v>»</v>
      </c>
      <c r="O48" s="345"/>
      <c r="R48" s="131" t="str">
        <f>H10</f>
        <v>Cross</v>
      </c>
      <c r="S48" s="337" t="s">
        <v>1207</v>
      </c>
      <c r="T48" s="346" t="str">
        <f>H9</f>
        <v>l</v>
      </c>
    </row>
    <row r="49" spans="11:20">
      <c r="K49">
        <f t="shared" si="6"/>
        <v>33</v>
      </c>
      <c r="L49">
        <f t="shared" si="1"/>
        <v>1</v>
      </c>
      <c r="M49" t="str">
        <f t="shared" si="7"/>
        <v xml:space="preserve"> </v>
      </c>
      <c r="N49" s="345" t="str">
        <f t="shared" si="0"/>
        <v>/</v>
      </c>
      <c r="O49" s="345"/>
      <c r="R49" s="131" t="str">
        <f>H12</f>
        <v>Trend</v>
      </c>
      <c r="S49" s="337" t="s">
        <v>1208</v>
      </c>
      <c r="T49" s="346" t="str">
        <f>H11</f>
        <v>m</v>
      </c>
    </row>
    <row r="50" spans="11:20">
      <c r="K50">
        <f t="shared" si="6"/>
        <v>34</v>
      </c>
      <c r="L50">
        <f t="shared" si="1"/>
        <v>2</v>
      </c>
      <c r="M50" t="str">
        <f t="shared" si="7"/>
        <v>zu</v>
      </c>
      <c r="N50" s="345" t="str">
        <f t="shared" si="0"/>
        <v>q</v>
      </c>
      <c r="O50" s="345"/>
      <c r="R50" s="131" t="str">
        <f>H16</f>
        <v>Liquid</v>
      </c>
      <c r="S50" s="337" t="s">
        <v>1209</v>
      </c>
      <c r="T50" s="346" t="str">
        <f>H15</f>
        <v>n</v>
      </c>
    </row>
    <row r="51" spans="11:20">
      <c r="K51">
        <f t="shared" si="6"/>
        <v>36</v>
      </c>
      <c r="L51">
        <f t="shared" si="1"/>
        <v>1</v>
      </c>
      <c r="M51" t="str">
        <f t="shared" si="7"/>
        <v>y</v>
      </c>
      <c r="N51" s="345" t="str">
        <f t="shared" si="0"/>
        <v>¸</v>
      </c>
      <c r="O51" s="345"/>
      <c r="R51" s="131" t="str">
        <f>H18</f>
        <v>Life</v>
      </c>
      <c r="S51" s="337" t="s">
        <v>1210</v>
      </c>
      <c r="T51" s="346" t="str">
        <f>H17</f>
        <v>o</v>
      </c>
    </row>
    <row r="52" spans="11:20">
      <c r="K52">
        <f t="shared" si="6"/>
        <v>37</v>
      </c>
      <c r="L52">
        <f t="shared" si="1"/>
        <v>1</v>
      </c>
      <c r="M52" t="str">
        <f t="shared" si="7"/>
        <v>n</v>
      </c>
      <c r="N52" s="345" t="str">
        <f t="shared" si="0"/>
        <v>®</v>
      </c>
      <c r="O52" s="345"/>
      <c r="R52" s="131" t="str">
        <f>H20</f>
        <v>Female</v>
      </c>
      <c r="S52" s="337" t="s">
        <v>1211</v>
      </c>
      <c r="T52" s="346" t="str">
        <f>H19</f>
        <v>p</v>
      </c>
    </row>
    <row r="53" spans="11:20">
      <c r="K53">
        <f t="shared" si="6"/>
        <v>38</v>
      </c>
      <c r="L53">
        <f t="shared" si="1"/>
        <v>1</v>
      </c>
      <c r="M53" t="str">
        <f t="shared" si="7"/>
        <v xml:space="preserve"> </v>
      </c>
      <c r="N53" s="345" t="str">
        <f t="shared" si="0"/>
        <v>/</v>
      </c>
      <c r="O53" s="345"/>
      <c r="R53" s="131" t="str">
        <f>H22</f>
        <v>Human</v>
      </c>
      <c r="S53" s="337" t="s">
        <v>1212</v>
      </c>
      <c r="T53" s="346" t="str">
        <f>H21</f>
        <v>q</v>
      </c>
    </row>
    <row r="54" spans="11:20">
      <c r="K54">
        <f t="shared" si="6"/>
        <v>39</v>
      </c>
      <c r="L54">
        <f t="shared" si="1"/>
        <v>2</v>
      </c>
      <c r="M54" t="str">
        <f t="shared" si="7"/>
        <v>me</v>
      </c>
      <c r="N54" s="345" t="str">
        <f t="shared" si="0"/>
        <v>³</v>
      </c>
      <c r="O54" s="345"/>
      <c r="R54" s="131" t="str">
        <f>H24</f>
        <v>Will</v>
      </c>
      <c r="S54" s="337" t="s">
        <v>1213</v>
      </c>
      <c r="T54" s="346" t="str">
        <f>H23</f>
        <v>r</v>
      </c>
    </row>
    <row r="55" spans="11:20">
      <c r="K55">
        <f t="shared" si="6"/>
        <v>41</v>
      </c>
      <c r="L55">
        <f t="shared" si="1"/>
        <v>2</v>
      </c>
      <c r="M55" t="str">
        <f t="shared" si="7"/>
        <v>se</v>
      </c>
      <c r="N55" s="345" t="str">
        <f t="shared" si="0"/>
        <v>m</v>
      </c>
      <c r="O55" s="345"/>
      <c r="R55" s="131" t="str">
        <f>I4</f>
        <v>Mind</v>
      </c>
      <c r="S55" s="337" t="s">
        <v>1214</v>
      </c>
      <c r="T55" s="346" t="str">
        <f>I3</f>
        <v>s</v>
      </c>
    </row>
    <row r="56" spans="11:20">
      <c r="K56">
        <f t="shared" si="6"/>
        <v>43</v>
      </c>
      <c r="L56">
        <f t="shared" si="1"/>
        <v>2</v>
      </c>
      <c r="M56" t="str">
        <f t="shared" si="7"/>
        <v>zo</v>
      </c>
      <c r="N56" s="345" t="str">
        <f t="shared" si="0"/>
        <v>o</v>
      </c>
      <c r="O56" s="345"/>
      <c r="R56" s="131" t="str">
        <f>I6</f>
        <v>Heart</v>
      </c>
      <c r="S56" s="337" t="s">
        <v>1215</v>
      </c>
      <c r="T56" s="346" t="str">
        <f>I5</f>
        <v>t</v>
      </c>
    </row>
    <row r="57" spans="11:20">
      <c r="K57">
        <f t="shared" si="6"/>
        <v>45</v>
      </c>
      <c r="L57">
        <f t="shared" si="1"/>
        <v>1</v>
      </c>
      <c r="M57" t="str">
        <f t="shared" si="7"/>
        <v>c</v>
      </c>
      <c r="N57" s="345" t="str">
        <f t="shared" si="0"/>
        <v>w</v>
      </c>
      <c r="O57" s="345"/>
      <c r="R57" s="131" t="str">
        <f>I8</f>
        <v>Body</v>
      </c>
      <c r="S57" s="337" t="s">
        <v>1216</v>
      </c>
      <c r="T57" s="346" t="str">
        <f>I7</f>
        <v>u</v>
      </c>
    </row>
    <row r="58" spans="11:20">
      <c r="K58">
        <f t="shared" si="6"/>
        <v>46</v>
      </c>
      <c r="L58">
        <f t="shared" si="1"/>
        <v>1</v>
      </c>
      <c r="M58" t="str">
        <f t="shared" si="7"/>
        <v xml:space="preserve"> </v>
      </c>
      <c r="N58" s="345" t="str">
        <f t="shared" si="0"/>
        <v>/</v>
      </c>
      <c r="O58" s="345"/>
      <c r="R58" s="131">
        <f>I10</f>
        <v>0</v>
      </c>
      <c r="S58" s="337" t="s">
        <v>1217</v>
      </c>
      <c r="T58" s="346" t="str">
        <f>I9</f>
        <v>v</v>
      </c>
    </row>
    <row r="59" spans="11:20">
      <c r="K59">
        <f t="shared" si="6"/>
        <v>47</v>
      </c>
      <c r="L59">
        <f t="shared" si="1"/>
        <v>2</v>
      </c>
      <c r="M59" t="str">
        <f t="shared" si="7"/>
        <v>ro</v>
      </c>
      <c r="N59" s="345" t="str">
        <f t="shared" ref="N59:N90" si="8">IFERROR(VLOOKUP(M59,$S$5:$T$121,2,FALSE),M59)</f>
        <v>¥</v>
      </c>
      <c r="O59" s="345" t="str">
        <f>CONCATENATE(N59,N60,N61,N62,N63,N64,N65,N66,N67,N68,N69,N70,N71,N72,N73,N74)</f>
        <v>¥¸c/¬IN®¸c/¬¥}¸c</v>
      </c>
      <c r="R59" s="131" t="str">
        <f>I12</f>
        <v>Past</v>
      </c>
      <c r="S59" s="337" t="s">
        <v>1218</v>
      </c>
      <c r="T59" s="346" t="str">
        <f>I11</f>
        <v>w</v>
      </c>
    </row>
    <row r="60" spans="11:20">
      <c r="K60">
        <f t="shared" si="6"/>
        <v>49</v>
      </c>
      <c r="L60">
        <f t="shared" si="1"/>
        <v>1</v>
      </c>
      <c r="M60" t="str">
        <f t="shared" si="7"/>
        <v>y</v>
      </c>
      <c r="N60" s="345" t="str">
        <f t="shared" si="8"/>
        <v>¸</v>
      </c>
      <c r="O60" s="345"/>
      <c r="R60" s="131">
        <f>I16</f>
        <v>0</v>
      </c>
      <c r="S60" s="337" t="s">
        <v>1219</v>
      </c>
      <c r="T60" s="346" t="str">
        <f>I15</f>
        <v>x</v>
      </c>
    </row>
    <row r="61" spans="11:20">
      <c r="K61">
        <f t="shared" si="6"/>
        <v>50</v>
      </c>
      <c r="L61">
        <f t="shared" si="1"/>
        <v>1</v>
      </c>
      <c r="M61" t="str">
        <f t="shared" si="7"/>
        <v>f</v>
      </c>
      <c r="N61" s="345" t="str">
        <f t="shared" si="8"/>
        <v>c</v>
      </c>
      <c r="O61" s="345"/>
      <c r="R61" s="131">
        <f>I18</f>
        <v>0</v>
      </c>
      <c r="S61" s="337" t="s">
        <v>1220</v>
      </c>
      <c r="T61" s="346" t="str">
        <f>I17</f>
        <v>y</v>
      </c>
    </row>
    <row r="62" spans="11:20">
      <c r="K62">
        <f t="shared" si="6"/>
        <v>51</v>
      </c>
      <c r="L62">
        <f t="shared" si="1"/>
        <v>1</v>
      </c>
      <c r="M62" t="str">
        <f t="shared" si="7"/>
        <v xml:space="preserve"> </v>
      </c>
      <c r="N62" s="345" t="str">
        <f t="shared" si="8"/>
        <v>/</v>
      </c>
      <c r="O62" s="345"/>
      <c r="R62" s="131" t="str">
        <f>I20</f>
        <v>Neutrality</v>
      </c>
      <c r="S62" s="337" t="s">
        <v>1221</v>
      </c>
      <c r="T62" s="346" t="str">
        <f>I19</f>
        <v>z</v>
      </c>
    </row>
    <row r="63" spans="11:20">
      <c r="K63">
        <f t="shared" si="6"/>
        <v>52</v>
      </c>
      <c r="L63">
        <f t="shared" si="1"/>
        <v>2</v>
      </c>
      <c r="M63" t="str">
        <f t="shared" si="7"/>
        <v>nu</v>
      </c>
      <c r="N63" s="345" t="str">
        <f t="shared" si="8"/>
        <v>¬</v>
      </c>
      <c r="O63" s="345"/>
      <c r="R63" s="131">
        <f>I22</f>
        <v>0</v>
      </c>
      <c r="S63" s="337" t="s">
        <v>1222</v>
      </c>
      <c r="T63" s="346" t="str">
        <f>I21</f>
        <v>{</v>
      </c>
    </row>
    <row r="64" spans="11:20">
      <c r="K64">
        <f t="shared" si="6"/>
        <v>54</v>
      </c>
      <c r="L64">
        <f t="shared" si="1"/>
        <v>2</v>
      </c>
      <c r="M64" t="str">
        <f t="shared" si="7"/>
        <v>bu</v>
      </c>
      <c r="N64" s="345" t="str">
        <f t="shared" si="8"/>
        <v>I</v>
      </c>
      <c r="O64" s="345"/>
      <c r="R64" s="131">
        <f>I24</f>
        <v>0</v>
      </c>
      <c r="S64" s="337" t="s">
        <v>1223</v>
      </c>
      <c r="T64" s="346" t="str">
        <f>I23</f>
        <v>|</v>
      </c>
    </row>
    <row r="65" spans="11:20">
      <c r="K65">
        <f t="shared" si="6"/>
        <v>56</v>
      </c>
      <c r="L65">
        <f t="shared" si="1"/>
        <v>2</v>
      </c>
      <c r="M65" t="str">
        <f t="shared" si="7"/>
        <v>tu</v>
      </c>
      <c r="N65" s="345" t="str">
        <f t="shared" si="8"/>
        <v>N</v>
      </c>
      <c r="O65" s="345"/>
      <c r="R65" s="131" t="str">
        <f>J4</f>
        <v>Law</v>
      </c>
      <c r="S65" s="337" t="s">
        <v>1224</v>
      </c>
      <c r="T65" s="346" t="str">
        <f>J3</f>
        <v>}</v>
      </c>
    </row>
    <row r="66" spans="11:20">
      <c r="K66">
        <f t="shared" si="6"/>
        <v>58</v>
      </c>
      <c r="L66">
        <f t="shared" si="1"/>
        <v>2</v>
      </c>
      <c r="M66" t="str">
        <f t="shared" si="7"/>
        <v>ne</v>
      </c>
      <c r="N66" s="345" t="str">
        <f t="shared" si="8"/>
        <v>®</v>
      </c>
      <c r="O66" s="345"/>
      <c r="R66" s="131" t="str">
        <f>J6</f>
        <v>Choice</v>
      </c>
      <c r="S66" s="337" t="s">
        <v>1225</v>
      </c>
      <c r="T66" s="346" t="str">
        <f>J5</f>
        <v>~</v>
      </c>
    </row>
    <row r="67" spans="11:20">
      <c r="K67">
        <f t="shared" si="6"/>
        <v>60</v>
      </c>
      <c r="L67">
        <f t="shared" si="1"/>
        <v>1</v>
      </c>
      <c r="M67" t="str">
        <f t="shared" si="7"/>
        <v>y</v>
      </c>
      <c r="N67" s="345" t="str">
        <f t="shared" si="8"/>
        <v>¸</v>
      </c>
      <c r="O67" s="345"/>
      <c r="R67" s="131" t="str">
        <f>J8</f>
        <v>Question</v>
      </c>
      <c r="S67" s="337" t="s">
        <v>1226</v>
      </c>
      <c r="T67" s="346" t="str">
        <f>J7</f>
        <v>¡</v>
      </c>
    </row>
    <row r="68" spans="11:20">
      <c r="K68">
        <f t="shared" si="6"/>
        <v>61</v>
      </c>
      <c r="L68">
        <f t="shared" si="1"/>
        <v>1</v>
      </c>
      <c r="M68" t="str">
        <f t="shared" si="7"/>
        <v>f</v>
      </c>
      <c r="N68" s="345" t="str">
        <f t="shared" si="8"/>
        <v>c</v>
      </c>
      <c r="O68" s="345"/>
      <c r="R68" s="131">
        <f>J10</f>
        <v>0</v>
      </c>
      <c r="S68" s="337" t="s">
        <v>1227</v>
      </c>
      <c r="T68" s="346" t="str">
        <f>J9</f>
        <v>¢</v>
      </c>
    </row>
    <row r="69" spans="11:20">
      <c r="K69">
        <f t="shared" si="6"/>
        <v>62</v>
      </c>
      <c r="L69">
        <f t="shared" si="1"/>
        <v>1</v>
      </c>
      <c r="M69" t="str">
        <f t="shared" si="7"/>
        <v xml:space="preserve"> </v>
      </c>
      <c r="N69" s="345" t="str">
        <f t="shared" si="8"/>
        <v>/</v>
      </c>
      <c r="O69" s="345"/>
      <c r="R69" s="131" t="str">
        <f>J12</f>
        <v>Condition</v>
      </c>
      <c r="S69" s="337" t="s">
        <v>1228</v>
      </c>
      <c r="T69" s="346" t="str">
        <f>J11</f>
        <v>£</v>
      </c>
    </row>
    <row r="70" spans="11:20">
      <c r="K70">
        <f t="shared" si="6"/>
        <v>63</v>
      </c>
      <c r="L70">
        <f t="shared" si="1"/>
        <v>2</v>
      </c>
      <c r="M70" t="str">
        <f t="shared" si="7"/>
        <v>nu</v>
      </c>
      <c r="N70" s="345" t="str">
        <f t="shared" si="8"/>
        <v>¬</v>
      </c>
      <c r="O70" s="345"/>
      <c r="R70" s="131" t="str">
        <f>J16</f>
        <v>Author</v>
      </c>
      <c r="S70" s="337" t="s">
        <v>1078</v>
      </c>
      <c r="T70" s="346" t="str">
        <f>J15</f>
        <v>¤</v>
      </c>
    </row>
    <row r="71" spans="11:20">
      <c r="K71">
        <f t="shared" si="6"/>
        <v>65</v>
      </c>
      <c r="L71">
        <f t="shared" si="1"/>
        <v>2</v>
      </c>
      <c r="M71" t="str">
        <f t="shared" si="7"/>
        <v>ro</v>
      </c>
      <c r="N71" s="345" t="str">
        <f t="shared" si="8"/>
        <v>¥</v>
      </c>
      <c r="O71" s="345"/>
      <c r="R71" s="131" t="str">
        <f>J18</f>
        <v>Power</v>
      </c>
      <c r="S71" s="337" t="s">
        <v>1229</v>
      </c>
      <c r="T71" s="346" t="str">
        <f>J17</f>
        <v>¥</v>
      </c>
    </row>
    <row r="72" spans="11:20">
      <c r="K72">
        <f t="shared" si="6"/>
        <v>67</v>
      </c>
      <c r="L72">
        <f t="shared" si="1"/>
        <v>2</v>
      </c>
      <c r="M72" t="str">
        <f t="shared" si="7"/>
        <v>xa</v>
      </c>
      <c r="N72" s="345" t="str">
        <f t="shared" si="8"/>
        <v>}</v>
      </c>
      <c r="O72" s="345"/>
      <c r="R72" s="131">
        <f>J20</f>
        <v>0</v>
      </c>
      <c r="S72" s="337" t="s">
        <v>1230</v>
      </c>
      <c r="T72" s="346" t="str">
        <f>J19</f>
        <v>¦</v>
      </c>
    </row>
    <row r="73" spans="11:20">
      <c r="K73">
        <f t="shared" si="6"/>
        <v>69</v>
      </c>
      <c r="L73">
        <f t="shared" si="1"/>
        <v>1</v>
      </c>
      <c r="M73" t="str">
        <f t="shared" si="7"/>
        <v>y</v>
      </c>
      <c r="N73" s="345" t="str">
        <f t="shared" si="8"/>
        <v>¸</v>
      </c>
      <c r="O73" s="345"/>
      <c r="R73" s="131">
        <f>J22</f>
        <v>0</v>
      </c>
      <c r="S73" s="337" t="s">
        <v>1231</v>
      </c>
      <c r="T73" s="346" t="str">
        <f>J21</f>
        <v>§</v>
      </c>
    </row>
    <row r="74" spans="11:20">
      <c r="K74">
        <f t="shared" si="6"/>
        <v>70</v>
      </c>
      <c r="L74">
        <f t="shared" si="1"/>
        <v>1</v>
      </c>
      <c r="M74" t="str">
        <f t="shared" si="7"/>
        <v>f</v>
      </c>
      <c r="N74" s="345" t="str">
        <f t="shared" si="8"/>
        <v>c</v>
      </c>
      <c r="O74" s="345"/>
      <c r="R74" s="131" t="str">
        <f>J24</f>
        <v>Action</v>
      </c>
      <c r="S74" s="337" t="s">
        <v>1232</v>
      </c>
      <c r="T74" s="346" t="str">
        <f>J23</f>
        <v>¨</v>
      </c>
    </row>
    <row r="75" spans="11:20">
      <c r="K75">
        <f t="shared" si="6"/>
        <v>71</v>
      </c>
      <c r="L75">
        <f t="shared" si="1"/>
        <v>1</v>
      </c>
      <c r="M75" t="str">
        <f t="shared" si="7"/>
        <v>.</v>
      </c>
      <c r="N75" s="345" t="str">
        <f t="shared" si="8"/>
        <v>.</v>
      </c>
      <c r="O75" s="345" t="str">
        <f>CONCATENATE(N75,N76,N77,N78,N79,N80,N81,N82,N83,N84,N85,N86,N87,N88,N89,N90)</f>
        <v>./±q¸®/³mcw¸c/bs</v>
      </c>
      <c r="R75" s="131">
        <f>O4</f>
        <v>0</v>
      </c>
      <c r="S75" s="337" t="s">
        <v>1233</v>
      </c>
      <c r="T75" s="346" t="str">
        <f>O3</f>
        <v>¾</v>
      </c>
    </row>
    <row r="76" spans="11:20">
      <c r="K76">
        <f t="shared" si="6"/>
        <v>72</v>
      </c>
      <c r="L76">
        <f t="shared" si="1"/>
        <v>1</v>
      </c>
      <c r="M76" t="str">
        <f t="shared" si="7"/>
        <v xml:space="preserve"> </v>
      </c>
      <c r="N76" s="345" t="str">
        <f t="shared" si="8"/>
        <v>/</v>
      </c>
      <c r="O76" s="345"/>
      <c r="R76" s="131">
        <f>O6</f>
        <v>0</v>
      </c>
      <c r="S76" s="337" t="s">
        <v>1234</v>
      </c>
      <c r="T76" s="346" t="str">
        <f>O5</f>
        <v>¿</v>
      </c>
    </row>
    <row r="77" spans="11:20">
      <c r="K77">
        <f t="shared" si="6"/>
        <v>73</v>
      </c>
      <c r="L77">
        <f t="shared" si="1"/>
        <v>2</v>
      </c>
      <c r="M77" t="str">
        <f t="shared" si="7"/>
        <v>mi</v>
      </c>
      <c r="N77" s="345" t="str">
        <f t="shared" si="8"/>
        <v>±</v>
      </c>
      <c r="O77" s="345"/>
      <c r="R77" s="131">
        <f>O8</f>
        <v>0</v>
      </c>
      <c r="S77" s="337" t="s">
        <v>1235</v>
      </c>
      <c r="T77" s="346" t="str">
        <f>O7</f>
        <v>À</v>
      </c>
    </row>
    <row r="78" spans="11:20">
      <c r="K78">
        <f t="shared" si="6"/>
        <v>75</v>
      </c>
      <c r="L78">
        <f t="shared" si="1"/>
        <v>2</v>
      </c>
      <c r="M78" t="str">
        <f t="shared" si="7"/>
        <v>zu</v>
      </c>
      <c r="N78" s="345" t="str">
        <f t="shared" si="8"/>
        <v>q</v>
      </c>
      <c r="O78" s="345"/>
      <c r="R78" s="131">
        <f>O10</f>
        <v>0</v>
      </c>
      <c r="S78" s="337" t="s">
        <v>1236</v>
      </c>
      <c r="T78" s="346" t="str">
        <f>O9</f>
        <v>Á</v>
      </c>
    </row>
    <row r="79" spans="11:20">
      <c r="K79">
        <f t="shared" si="6"/>
        <v>77</v>
      </c>
      <c r="L79">
        <f t="shared" si="1"/>
        <v>1</v>
      </c>
      <c r="M79" t="str">
        <f t="shared" si="7"/>
        <v>y</v>
      </c>
      <c r="N79" s="345" t="str">
        <f t="shared" si="8"/>
        <v>¸</v>
      </c>
      <c r="O79" s="345"/>
      <c r="R79" s="131" t="str">
        <f>O12</f>
        <v>JOKER</v>
      </c>
      <c r="S79" s="337" t="s">
        <v>937</v>
      </c>
      <c r="T79" s="346" t="str">
        <f>O11</f>
        <v>Â</v>
      </c>
    </row>
    <row r="80" spans="11:20">
      <c r="K80">
        <f t="shared" si="6"/>
        <v>78</v>
      </c>
      <c r="L80">
        <f t="shared" si="1"/>
        <v>1</v>
      </c>
      <c r="M80" t="str">
        <f t="shared" si="7"/>
        <v>n</v>
      </c>
      <c r="N80" s="345" t="str">
        <f t="shared" si="8"/>
        <v>®</v>
      </c>
      <c r="O80" s="345"/>
      <c r="R80" s="131" t="str">
        <f>O16</f>
        <v>Space</v>
      </c>
      <c r="S80" s="337" t="s">
        <v>1077</v>
      </c>
      <c r="T80" s="346" t="str">
        <f>O15</f>
        <v>Ã</v>
      </c>
    </row>
    <row r="81" spans="11:20">
      <c r="K81">
        <f t="shared" si="6"/>
        <v>79</v>
      </c>
      <c r="L81">
        <f t="shared" si="1"/>
        <v>1</v>
      </c>
      <c r="M81" t="str">
        <f t="shared" si="7"/>
        <v xml:space="preserve"> </v>
      </c>
      <c r="N81" s="345" t="str">
        <f t="shared" si="8"/>
        <v>/</v>
      </c>
      <c r="O81" s="345"/>
      <c r="R81" s="131">
        <f>O18</f>
        <v>0</v>
      </c>
      <c r="S81" s="337" t="s">
        <v>1237</v>
      </c>
      <c r="T81" s="346" t="str">
        <f>O17</f>
        <v>Ä</v>
      </c>
    </row>
    <row r="82" spans="11:20">
      <c r="K82">
        <f t="shared" si="6"/>
        <v>80</v>
      </c>
      <c r="L82">
        <f t="shared" si="1"/>
        <v>2</v>
      </c>
      <c r="M82" t="str">
        <f t="shared" si="7"/>
        <v>me</v>
      </c>
      <c r="N82" s="345" t="str">
        <f t="shared" si="8"/>
        <v>³</v>
      </c>
      <c r="O82" s="345"/>
      <c r="R82" s="131" t="str">
        <f>O20</f>
        <v>Electricity</v>
      </c>
      <c r="S82" s="337" t="s">
        <v>1238</v>
      </c>
      <c r="T82" s="346" t="str">
        <f>O19</f>
        <v>Å</v>
      </c>
    </row>
    <row r="83" spans="11:20">
      <c r="K83">
        <f t="shared" si="6"/>
        <v>82</v>
      </c>
      <c r="L83">
        <f t="shared" si="1"/>
        <v>1</v>
      </c>
      <c r="M83" t="str">
        <f t="shared" si="7"/>
        <v>s</v>
      </c>
      <c r="N83" s="345" t="str">
        <f t="shared" si="8"/>
        <v>m</v>
      </c>
      <c r="O83" s="345"/>
      <c r="R83" s="131">
        <f>O22</f>
        <v>0</v>
      </c>
      <c r="S83" s="337" t="s">
        <v>1239</v>
      </c>
      <c r="T83" s="346" t="str">
        <f>O21</f>
        <v>Æ</v>
      </c>
    </row>
    <row r="84" spans="11:20">
      <c r="K84">
        <f t="shared" si="6"/>
        <v>83</v>
      </c>
      <c r="L84">
        <f t="shared" si="1"/>
        <v>2</v>
      </c>
      <c r="M84" t="str">
        <f t="shared" si="7"/>
        <v>fe</v>
      </c>
      <c r="N84" s="345" t="str">
        <f t="shared" si="8"/>
        <v>c</v>
      </c>
      <c r="O84" s="345"/>
      <c r="R84" s="131" t="str">
        <f>O24</f>
        <v>Time</v>
      </c>
      <c r="S84" s="337" t="s">
        <v>1240</v>
      </c>
      <c r="T84" s="346" t="str">
        <f>O23</f>
        <v>Ç</v>
      </c>
    </row>
    <row r="85" spans="11:20">
      <c r="K85">
        <f t="shared" si="6"/>
        <v>85</v>
      </c>
      <c r="L85">
        <f t="shared" si="1"/>
        <v>2</v>
      </c>
      <c r="M85" t="str">
        <f t="shared" si="7"/>
        <v>ce</v>
      </c>
      <c r="N85" s="345" t="str">
        <f t="shared" si="8"/>
        <v>w</v>
      </c>
      <c r="O85" s="345"/>
      <c r="R85" s="131" t="str">
        <f>L4</f>
        <v>Me</v>
      </c>
      <c r="S85" s="337" t="s">
        <v>1241</v>
      </c>
      <c r="T85" s="346" t="str">
        <f>L3</f>
        <v>©</v>
      </c>
    </row>
    <row r="86" spans="11:20">
      <c r="K86">
        <f t="shared" si="6"/>
        <v>87</v>
      </c>
      <c r="L86">
        <f t="shared" si="1"/>
        <v>1</v>
      </c>
      <c r="M86" t="str">
        <f t="shared" si="7"/>
        <v>y</v>
      </c>
      <c r="N86" s="345" t="str">
        <f t="shared" si="8"/>
        <v>¸</v>
      </c>
      <c r="O86" s="345"/>
      <c r="R86" s="131" t="str">
        <f>L6</f>
        <v>Inside</v>
      </c>
      <c r="S86" s="337" t="s">
        <v>399</v>
      </c>
      <c r="T86" s="346" t="str">
        <f>L5</f>
        <v>ª</v>
      </c>
    </row>
    <row r="87" spans="11:20">
      <c r="K87">
        <f t="shared" si="6"/>
        <v>88</v>
      </c>
      <c r="L87">
        <f t="shared" si="1"/>
        <v>1</v>
      </c>
      <c r="M87" t="str">
        <f t="shared" si="7"/>
        <v>f</v>
      </c>
      <c r="N87" s="345" t="str">
        <f t="shared" si="8"/>
        <v>c</v>
      </c>
      <c r="O87" s="345"/>
      <c r="R87" s="131" t="str">
        <f>L8</f>
        <v>Proximity</v>
      </c>
      <c r="S87" s="337" t="s">
        <v>1242</v>
      </c>
      <c r="T87" s="346" t="str">
        <f>L7</f>
        <v>«</v>
      </c>
    </row>
    <row r="88" spans="11:20">
      <c r="K88">
        <f t="shared" si="6"/>
        <v>89</v>
      </c>
      <c r="L88">
        <f t="shared" si="1"/>
        <v>1</v>
      </c>
      <c r="M88" t="str">
        <f t="shared" si="7"/>
        <v xml:space="preserve"> </v>
      </c>
      <c r="N88" s="345" t="str">
        <f t="shared" si="8"/>
        <v>/</v>
      </c>
      <c r="O88" s="345"/>
      <c r="R88" s="131" t="str">
        <f>L10</f>
        <v>Equality</v>
      </c>
      <c r="S88" s="337" t="s">
        <v>1243</v>
      </c>
      <c r="T88" s="346" t="str">
        <f>L9</f>
        <v>¬</v>
      </c>
    </row>
    <row r="89" spans="11:20">
      <c r="K89">
        <f t="shared" si="6"/>
        <v>90</v>
      </c>
      <c r="L89">
        <f t="shared" si="1"/>
        <v>2</v>
      </c>
      <c r="M89" t="str">
        <f t="shared" si="7"/>
        <v>fu</v>
      </c>
      <c r="N89" s="345" t="str">
        <f t="shared" si="8"/>
        <v>b</v>
      </c>
      <c r="O89" s="345"/>
      <c r="R89" s="131" t="str">
        <f>L12</f>
        <v>Thing</v>
      </c>
      <c r="S89" s="337" t="s">
        <v>1244</v>
      </c>
      <c r="T89" s="346" t="str">
        <f>L11</f>
        <v>®</v>
      </c>
    </row>
    <row r="90" spans="11:20">
      <c r="K90">
        <f t="shared" si="6"/>
        <v>92</v>
      </c>
      <c r="L90">
        <f t="shared" si="1"/>
        <v>2</v>
      </c>
      <c r="M90" t="str">
        <f t="shared" si="7"/>
        <v>ca</v>
      </c>
      <c r="N90" s="345" t="str">
        <f t="shared" si="8"/>
        <v>s</v>
      </c>
      <c r="O90" s="345"/>
      <c r="R90" s="131" t="str">
        <f>L16</f>
        <v>You</v>
      </c>
      <c r="S90" s="337" t="s">
        <v>1245</v>
      </c>
      <c r="T90" s="346" t="str">
        <f>L15</f>
        <v>¯</v>
      </c>
    </row>
    <row r="91" spans="11:20">
      <c r="K91">
        <f t="shared" si="6"/>
        <v>94</v>
      </c>
      <c r="L91">
        <f t="shared" si="1"/>
        <v>1</v>
      </c>
      <c r="M91" t="str">
        <f t="shared" si="7"/>
        <v>m</v>
      </c>
      <c r="N91" s="345" t="str">
        <f t="shared" ref="N91:N121" si="9">IFERROR(VLOOKUP(M91,$S$5:$T$121,2,FALSE),M91)</f>
        <v>³</v>
      </c>
      <c r="O91" s="345" t="str">
        <f>CONCATENATE(N91,N92,N93,N94,N95,N96,N97,N98,N99,N100,N101,N102,N103,N104,N105,N106)</f>
        <v>³/j/b¹s³,/j/A¥Ç/</v>
      </c>
      <c r="R91" s="131" t="str">
        <f>L18</f>
        <v>Connection</v>
      </c>
      <c r="S91" s="337" t="s">
        <v>1246</v>
      </c>
      <c r="T91" s="346" t="str">
        <f>L17</f>
        <v>°</v>
      </c>
    </row>
    <row r="92" spans="11:20">
      <c r="K92">
        <f t="shared" si="6"/>
        <v>95</v>
      </c>
      <c r="L92">
        <f t="shared" ref="L92:L110" si="10">IF(OR(MID($B$27,K92+1,1)="a",MID($B$27,K92+1,1)="i",MID($B$27,K92+1,1)="o",MID($B$27,K92+1,1)="u",MID($B$27,K92+1,1)="e"),2,1)</f>
        <v>1</v>
      </c>
      <c r="M92" t="str">
        <f t="shared" si="7"/>
        <v xml:space="preserve"> </v>
      </c>
      <c r="N92" s="345" t="str">
        <f t="shared" si="9"/>
        <v>/</v>
      </c>
      <c r="O92" s="345"/>
      <c r="R92" s="131" t="str">
        <f>L20</f>
        <v>Show</v>
      </c>
      <c r="S92" s="337" t="s">
        <v>1079</v>
      </c>
      <c r="T92" s="346" t="str">
        <f>L19</f>
        <v>±</v>
      </c>
    </row>
    <row r="93" spans="11:20">
      <c r="K93">
        <f t="shared" si="6"/>
        <v>96</v>
      </c>
      <c r="L93">
        <f t="shared" si="10"/>
        <v>2</v>
      </c>
      <c r="M93" t="str">
        <f t="shared" si="7"/>
        <v>so</v>
      </c>
      <c r="N93" s="345" t="str">
        <f t="shared" si="9"/>
        <v>j</v>
      </c>
      <c r="O93" s="345"/>
      <c r="R93" s="131">
        <f>L22</f>
        <v>0</v>
      </c>
      <c r="S93" s="337" t="s">
        <v>1247</v>
      </c>
      <c r="T93" s="346" t="str">
        <f>L21</f>
        <v>²</v>
      </c>
    </row>
    <row r="94" spans="11:20">
      <c r="K94">
        <f t="shared" si="6"/>
        <v>98</v>
      </c>
      <c r="L94">
        <f t="shared" si="10"/>
        <v>1</v>
      </c>
      <c r="M94" t="str">
        <f t="shared" si="7"/>
        <v xml:space="preserve"> </v>
      </c>
      <c r="N94" s="345" t="str">
        <f t="shared" si="9"/>
        <v>/</v>
      </c>
      <c r="O94" s="345"/>
      <c r="R94" s="131" t="str">
        <f>L24</f>
        <v>Objet</v>
      </c>
      <c r="S94" s="337" t="s">
        <v>703</v>
      </c>
      <c r="T94" s="346" t="str">
        <f>L23</f>
        <v>³</v>
      </c>
    </row>
    <row r="95" spans="11:20">
      <c r="K95">
        <f t="shared" si="6"/>
        <v>99</v>
      </c>
      <c r="L95">
        <f t="shared" si="10"/>
        <v>2</v>
      </c>
      <c r="M95" t="str">
        <f t="shared" si="7"/>
        <v>fu</v>
      </c>
      <c r="N95" s="345" t="str">
        <f t="shared" si="9"/>
        <v>b</v>
      </c>
      <c r="O95" s="345"/>
      <c r="R95" s="131" t="str">
        <f>M4</f>
        <v>Reciprocal</v>
      </c>
      <c r="S95" s="337" t="s">
        <v>1248</v>
      </c>
      <c r="T95" s="346" t="str">
        <f>M3</f>
        <v>´</v>
      </c>
    </row>
    <row r="96" spans="11:20">
      <c r="K96">
        <f t="shared" si="6"/>
        <v>101</v>
      </c>
      <c r="L96">
        <f t="shared" si="10"/>
        <v>2</v>
      </c>
      <c r="M96" t="str">
        <f t="shared" si="7"/>
        <v>wa</v>
      </c>
      <c r="N96" s="345" t="str">
        <f t="shared" si="9"/>
        <v>¹</v>
      </c>
      <c r="O96" s="345"/>
      <c r="R96" s="131" t="str">
        <f>M6</f>
        <v>More</v>
      </c>
      <c r="S96" s="337" t="s">
        <v>1249</v>
      </c>
      <c r="T96" s="346" t="str">
        <f>M5</f>
        <v>µ</v>
      </c>
    </row>
    <row r="97" spans="11:20">
      <c r="K97">
        <f t="shared" si="6"/>
        <v>103</v>
      </c>
      <c r="L97">
        <f t="shared" si="10"/>
        <v>2</v>
      </c>
      <c r="M97" t="str">
        <f t="shared" si="7"/>
        <v>ca</v>
      </c>
      <c r="N97" s="345" t="str">
        <f t="shared" si="9"/>
        <v>s</v>
      </c>
      <c r="O97" s="345"/>
      <c r="R97" s="131" t="str">
        <f>M8</f>
        <v>Magnitude</v>
      </c>
      <c r="S97" s="337" t="s">
        <v>1250</v>
      </c>
      <c r="T97" s="346" t="str">
        <f>M7</f>
        <v>¶</v>
      </c>
    </row>
    <row r="98" spans="11:20">
      <c r="K98">
        <f t="shared" si="6"/>
        <v>105</v>
      </c>
      <c r="L98">
        <f t="shared" si="10"/>
        <v>1</v>
      </c>
      <c r="M98" t="str">
        <f t="shared" si="7"/>
        <v>m</v>
      </c>
      <c r="N98" s="345" t="str">
        <f t="shared" si="9"/>
        <v>³</v>
      </c>
      <c r="O98" s="345"/>
      <c r="R98" s="131" t="str">
        <f>M10</f>
        <v>Quantity</v>
      </c>
      <c r="S98" s="337" t="s">
        <v>1251</v>
      </c>
      <c r="T98" s="346" t="str">
        <f>M9</f>
        <v>·</v>
      </c>
    </row>
    <row r="99" spans="11:20">
      <c r="K99">
        <f t="shared" si="6"/>
        <v>106</v>
      </c>
      <c r="L99">
        <f t="shared" si="10"/>
        <v>1</v>
      </c>
      <c r="M99" t="str">
        <f t="shared" si="7"/>
        <v>,</v>
      </c>
      <c r="N99" s="345" t="str">
        <f t="shared" si="9"/>
        <v>,</v>
      </c>
      <c r="O99" s="345"/>
      <c r="R99" s="131" t="str">
        <f>M12</f>
        <v>Group</v>
      </c>
      <c r="S99" s="337" t="s">
        <v>1252</v>
      </c>
      <c r="T99" s="346" t="str">
        <f>M11</f>
        <v>¸</v>
      </c>
    </row>
    <row r="100" spans="11:20">
      <c r="K100">
        <f t="shared" si="6"/>
        <v>107</v>
      </c>
      <c r="L100">
        <f t="shared" si="10"/>
        <v>1</v>
      </c>
      <c r="M100" t="str">
        <f t="shared" si="7"/>
        <v xml:space="preserve"> </v>
      </c>
      <c r="N100" s="345" t="str">
        <f t="shared" si="9"/>
        <v>/</v>
      </c>
      <c r="O100" s="345"/>
      <c r="R100" s="131" t="str">
        <f>M16</f>
        <v>Self</v>
      </c>
      <c r="S100" s="337" t="s">
        <v>1253</v>
      </c>
      <c r="T100" s="346" t="str">
        <f>M15</f>
        <v>¹</v>
      </c>
    </row>
    <row r="101" spans="11:20">
      <c r="K101">
        <f t="shared" si="6"/>
        <v>108</v>
      </c>
      <c r="L101">
        <f t="shared" si="10"/>
        <v>2</v>
      </c>
      <c r="M101" t="str">
        <f t="shared" si="7"/>
        <v>so</v>
      </c>
      <c r="N101" s="345" t="str">
        <f t="shared" si="9"/>
        <v>j</v>
      </c>
      <c r="O101" s="345"/>
      <c r="R101" s="131">
        <f>M18</f>
        <v>0</v>
      </c>
      <c r="S101" s="337" t="s">
        <v>1254</v>
      </c>
      <c r="T101" s="346" t="str">
        <f>M17</f>
        <v>º</v>
      </c>
    </row>
    <row r="102" spans="11:20">
      <c r="K102">
        <f t="shared" si="6"/>
        <v>110</v>
      </c>
      <c r="L102">
        <f t="shared" si="10"/>
        <v>1</v>
      </c>
      <c r="M102" t="str">
        <f t="shared" si="7"/>
        <v xml:space="preserve"> </v>
      </c>
      <c r="N102" s="345" t="str">
        <f t="shared" si="9"/>
        <v>/</v>
      </c>
      <c r="O102" s="345"/>
      <c r="R102" s="131" t="str">
        <f>M20</f>
        <v>Whole</v>
      </c>
      <c r="S102" s="337" t="s">
        <v>1255</v>
      </c>
      <c r="T102" s="346" t="str">
        <f>M19</f>
        <v>»</v>
      </c>
    </row>
    <row r="103" spans="11:20">
      <c r="K103">
        <f t="shared" ref="K103:K110" si="11">K102+L102</f>
        <v>111</v>
      </c>
      <c r="L103">
        <f t="shared" si="10"/>
        <v>2</v>
      </c>
      <c r="M103" t="str">
        <f t="shared" ref="M103:M110" si="12">MID($B$27,K103,L103)</f>
        <v>pa</v>
      </c>
      <c r="N103" s="345" t="str">
        <f t="shared" si="9"/>
        <v>A</v>
      </c>
      <c r="O103" s="345"/>
      <c r="R103" s="131">
        <f>M22</f>
        <v>0</v>
      </c>
      <c r="S103" s="337" t="s">
        <v>1256</v>
      </c>
      <c r="T103" s="346" t="str">
        <f>M21</f>
        <v>¼</v>
      </c>
    </row>
    <row r="104" spans="11:20">
      <c r="K104">
        <f t="shared" si="11"/>
        <v>113</v>
      </c>
      <c r="L104">
        <f t="shared" si="10"/>
        <v>2</v>
      </c>
      <c r="M104" t="str">
        <f t="shared" si="12"/>
        <v>ro</v>
      </c>
      <c r="N104" s="345" t="str">
        <f t="shared" si="9"/>
        <v>¥</v>
      </c>
      <c r="O104" s="345"/>
      <c r="R104" s="131" t="str">
        <f>M24</f>
        <v>Element</v>
      </c>
      <c r="S104" s="337" t="s">
        <v>1257</v>
      </c>
      <c r="T104" s="346" t="str">
        <f>M23</f>
        <v>½</v>
      </c>
    </row>
    <row r="105" spans="11:20" ht="14.25">
      <c r="K105">
        <f t="shared" si="11"/>
        <v>115</v>
      </c>
      <c r="L105">
        <f t="shared" si="10"/>
        <v>1</v>
      </c>
      <c r="M105" t="str">
        <f t="shared" si="12"/>
        <v>l</v>
      </c>
      <c r="N105" s="345" t="str">
        <f t="shared" si="9"/>
        <v>Ç</v>
      </c>
      <c r="O105" s="345"/>
      <c r="R105" s="158"/>
      <c r="S105" s="13" t="s">
        <v>142</v>
      </c>
      <c r="T105" s="347" t="str">
        <f>VLOOKUP(S105&amp;"e",$S$5:$T$104,2,FALSE)</f>
        <v>Y</v>
      </c>
    </row>
    <row r="106" spans="11:20" ht="14.25">
      <c r="K106">
        <f t="shared" si="11"/>
        <v>116</v>
      </c>
      <c r="L106">
        <f t="shared" si="10"/>
        <v>1</v>
      </c>
      <c r="M106" t="str">
        <f t="shared" si="12"/>
        <v xml:space="preserve"> </v>
      </c>
      <c r="N106" s="345" t="str">
        <f t="shared" si="9"/>
        <v>/</v>
      </c>
      <c r="O106" s="345"/>
      <c r="R106"/>
      <c r="S106" t="s">
        <v>141</v>
      </c>
      <c r="T106" s="347" t="str">
        <f t="shared" ref="T106:T119" si="13">VLOOKUP(S106&amp;"e",$S$5:$T$104,2,FALSE)</f>
        <v>O</v>
      </c>
    </row>
    <row r="107" spans="11:20" ht="14.25">
      <c r="K107">
        <f t="shared" si="11"/>
        <v>117</v>
      </c>
      <c r="L107">
        <f t="shared" si="10"/>
        <v>2</v>
      </c>
      <c r="M107" t="str">
        <f t="shared" si="12"/>
        <v>re</v>
      </c>
      <c r="N107" s="345" t="str">
        <f t="shared" si="9"/>
        <v>¨</v>
      </c>
      <c r="O107" s="345" t="str">
        <f>CONCATENATE(N107,N108,N109,N110,N111,N112,N113,N114,N115,N116,N117,N118,N119,N120,N121,N122)</f>
        <v>¨¨/m/´®/q¬Noh.</v>
      </c>
      <c r="R107"/>
      <c r="S107" t="s">
        <v>143</v>
      </c>
      <c r="T107" s="347" t="str">
        <f t="shared" si="13"/>
        <v>c</v>
      </c>
    </row>
    <row r="108" spans="11:20" ht="14.25">
      <c r="K108">
        <f t="shared" si="11"/>
        <v>119</v>
      </c>
      <c r="L108">
        <f t="shared" si="10"/>
        <v>1</v>
      </c>
      <c r="M108" t="str">
        <f t="shared" si="12"/>
        <v>r</v>
      </c>
      <c r="N108" s="345" t="str">
        <f t="shared" si="9"/>
        <v>¨</v>
      </c>
      <c r="O108" s="345"/>
      <c r="R108"/>
      <c r="S108" t="s">
        <v>147</v>
      </c>
      <c r="T108" s="347" t="str">
        <f t="shared" si="13"/>
        <v>h</v>
      </c>
    </row>
    <row r="109" spans="11:20" ht="14.25">
      <c r="K109">
        <f t="shared" si="11"/>
        <v>120</v>
      </c>
      <c r="L109">
        <f t="shared" si="10"/>
        <v>1</v>
      </c>
      <c r="M109" t="str">
        <f t="shared" si="12"/>
        <v xml:space="preserve"> </v>
      </c>
      <c r="N109" s="345" t="str">
        <f t="shared" si="9"/>
        <v>/</v>
      </c>
      <c r="O109" s="345"/>
      <c r="R109"/>
      <c r="S109" t="s">
        <v>114</v>
      </c>
      <c r="T109" s="347" t="str">
        <f t="shared" si="13"/>
        <v>m</v>
      </c>
    </row>
    <row r="110" spans="11:20" ht="14.25">
      <c r="K110">
        <f t="shared" si="11"/>
        <v>121</v>
      </c>
      <c r="L110">
        <f t="shared" si="10"/>
        <v>2</v>
      </c>
      <c r="M110" t="str">
        <f t="shared" si="12"/>
        <v>se</v>
      </c>
      <c r="N110" s="345" t="str">
        <f t="shared" si="9"/>
        <v>m</v>
      </c>
      <c r="O110" s="345"/>
      <c r="R110"/>
      <c r="S110" t="s">
        <v>154</v>
      </c>
      <c r="T110" s="347" t="str">
        <f t="shared" si="13"/>
        <v>£</v>
      </c>
    </row>
    <row r="111" spans="11:20" ht="14.25">
      <c r="K111">
        <f t="shared" ref="K111:K116" si="14">K110+L110</f>
        <v>123</v>
      </c>
      <c r="L111">
        <f t="shared" ref="L111:L116" si="15">IF(OR(MID($B$27,K111+1,1)="a",MID($B$27,K111+1,1)="i",MID($B$27,K111+1,1)="o",MID($B$27,K111+1,1)="u",MID($B$27,K111+1,1)="e"),2,1)</f>
        <v>1</v>
      </c>
      <c r="M111" t="str">
        <f t="shared" ref="M111:M116" si="16">MID($B$27,K111,L111)</f>
        <v xml:space="preserve"> </v>
      </c>
      <c r="N111" s="345" t="str">
        <f t="shared" si="9"/>
        <v>/</v>
      </c>
      <c r="R111"/>
      <c r="S111" t="s">
        <v>139</v>
      </c>
      <c r="T111" s="347" t="str">
        <f t="shared" si="13"/>
        <v>Â</v>
      </c>
    </row>
    <row r="112" spans="11:20" ht="14.25">
      <c r="K112">
        <f t="shared" si="14"/>
        <v>124</v>
      </c>
      <c r="L112">
        <f t="shared" si="15"/>
        <v>2</v>
      </c>
      <c r="M112" t="str">
        <f t="shared" si="16"/>
        <v>ya</v>
      </c>
      <c r="N112" s="345" t="str">
        <f t="shared" si="9"/>
        <v>´</v>
      </c>
      <c r="R112"/>
      <c r="S112" t="s">
        <v>27</v>
      </c>
      <c r="T112" s="347" t="str">
        <f t="shared" si="13"/>
        <v>®</v>
      </c>
    </row>
    <row r="113" spans="11:37" ht="14.25">
      <c r="K113">
        <f t="shared" si="14"/>
        <v>126</v>
      </c>
      <c r="L113">
        <f t="shared" si="15"/>
        <v>1</v>
      </c>
      <c r="M113" t="str">
        <f t="shared" si="16"/>
        <v>n</v>
      </c>
      <c r="N113" s="345" t="str">
        <f t="shared" si="9"/>
        <v>®</v>
      </c>
      <c r="R113"/>
      <c r="S113" t="s">
        <v>119</v>
      </c>
      <c r="T113" s="347" t="str">
        <f t="shared" si="13"/>
        <v>¸</v>
      </c>
    </row>
    <row r="114" spans="11:37" ht="14.25">
      <c r="K114">
        <f t="shared" si="14"/>
        <v>127</v>
      </c>
      <c r="L114">
        <f t="shared" si="15"/>
        <v>1</v>
      </c>
      <c r="M114" t="str">
        <f t="shared" si="16"/>
        <v xml:space="preserve"> </v>
      </c>
      <c r="N114" s="345" t="str">
        <f t="shared" si="9"/>
        <v>/</v>
      </c>
      <c r="R114"/>
      <c r="S114" t="s">
        <v>145</v>
      </c>
      <c r="T114" s="347" t="str">
        <f t="shared" si="13"/>
        <v>½</v>
      </c>
    </row>
    <row r="115" spans="11:37" ht="14.25">
      <c r="K115">
        <f t="shared" si="14"/>
        <v>128</v>
      </c>
      <c r="L115">
        <f t="shared" si="15"/>
        <v>2</v>
      </c>
      <c r="M115" t="str">
        <f t="shared" si="16"/>
        <v>zu</v>
      </c>
      <c r="N115" s="345" t="str">
        <f t="shared" si="9"/>
        <v>q</v>
      </c>
      <c r="R115"/>
      <c r="S115" t="s">
        <v>116</v>
      </c>
      <c r="T115" s="347" t="str">
        <f t="shared" si="13"/>
        <v>r</v>
      </c>
    </row>
    <row r="116" spans="11:37" ht="14.25">
      <c r="K116">
        <f t="shared" si="14"/>
        <v>130</v>
      </c>
      <c r="L116">
        <f t="shared" si="15"/>
        <v>2</v>
      </c>
      <c r="M116" t="str">
        <f t="shared" si="16"/>
        <v>nu</v>
      </c>
      <c r="N116" s="345" t="str">
        <f t="shared" si="9"/>
        <v>¬</v>
      </c>
      <c r="R116"/>
      <c r="S116" t="s">
        <v>117</v>
      </c>
      <c r="T116" s="347" t="str">
        <f t="shared" si="13"/>
        <v>¨</v>
      </c>
    </row>
    <row r="117" spans="11:37" ht="14.25">
      <c r="K117">
        <f>K116+L116</f>
        <v>132</v>
      </c>
      <c r="L117">
        <f>IF(OR(MID($B$27,K117+1,1)="a",MID($B$27,K117+1,1)="i",MID($B$27,K117+1,1)="o",MID($B$27,K117+1,1)="u",MID($B$27,K117+1,1)="e"),2,1)</f>
        <v>2</v>
      </c>
      <c r="M117" t="str">
        <f>MID($B$27,K117,L117)</f>
        <v>tu</v>
      </c>
      <c r="N117" s="345" t="str">
        <f t="shared" si="9"/>
        <v>N</v>
      </c>
      <c r="R117"/>
      <c r="S117" t="s">
        <v>118</v>
      </c>
      <c r="T117" s="347" t="str">
        <f t="shared" si="13"/>
        <v>Ç</v>
      </c>
    </row>
    <row r="118" spans="11:37" ht="14.25">
      <c r="K118">
        <f>K117+L117</f>
        <v>134</v>
      </c>
      <c r="L118">
        <f>IF(OR(MID($B$27,K118+1,1)="a",MID($B$27,K118+1,1)="i",MID($B$27,K118+1,1)="o",MID($B$27,K118+1,1)="u",MID($B$27,K118+1,1)="e"),2,1)</f>
        <v>2</v>
      </c>
      <c r="M118" t="str">
        <f>MID($B$27,K118,L118)</f>
        <v>zo</v>
      </c>
      <c r="N118" s="345" t="str">
        <f t="shared" si="9"/>
        <v>o</v>
      </c>
      <c r="R118"/>
      <c r="S118" t="s">
        <v>995</v>
      </c>
      <c r="T118" s="347" t="str">
        <f t="shared" si="13"/>
        <v>w</v>
      </c>
    </row>
    <row r="119" spans="11:37" ht="14.25">
      <c r="K119">
        <f>K118+L118</f>
        <v>136</v>
      </c>
      <c r="L119">
        <f>IF(OR(MID($B$27,K119+1,1)="a",MID($B$27,K119+1,1)="i",MID($B$27,K119+1,1)="o",MID($B$27,K119+1,1)="u",MID($B$27,K119+1,1)="e"),2,1)</f>
        <v>1</v>
      </c>
      <c r="M119" t="str">
        <f>MID($B$27,K119,L119)</f>
        <v>v</v>
      </c>
      <c r="N119" s="345" t="str">
        <f t="shared" si="9"/>
        <v>h</v>
      </c>
      <c r="R119"/>
      <c r="S119" t="s">
        <v>115</v>
      </c>
      <c r="T119" s="347" t="str">
        <f t="shared" si="13"/>
        <v>³</v>
      </c>
    </row>
    <row r="120" spans="11:37" ht="14.25">
      <c r="K120">
        <f>K119+L119</f>
        <v>137</v>
      </c>
      <c r="L120">
        <f>IF(OR(MID($B$27,K120+1,1)="a",MID($B$27,K120+1,1)="i",MID($B$27,K120+1,1)="o",MID($B$27,K120+1,1)="u",MID($B$27,K120+1,1)="e"),2,1)</f>
        <v>1</v>
      </c>
      <c r="M120" t="str">
        <f>MID($B$27,K120,L120)</f>
        <v>.</v>
      </c>
      <c r="N120" s="345" t="str">
        <f t="shared" si="9"/>
        <v>.</v>
      </c>
      <c r="R120"/>
      <c r="S120" t="s">
        <v>138</v>
      </c>
      <c r="T120" s="347" t="str">
        <f>T74</f>
        <v>¨</v>
      </c>
    </row>
    <row r="121" spans="11:37">
      <c r="K121">
        <f>K120+L120</f>
        <v>138</v>
      </c>
      <c r="L121">
        <f>IF(OR(MID($B$27,K121+1,1)="a",MID($B$27,K121+1,1)="i",MID($B$27,K121+1,1)="o",MID($B$27,K121+1,1)="u",MID($B$27,K121+1,1)="e"),2,1)</f>
        <v>1</v>
      </c>
      <c r="M121" t="str">
        <f>MID($B$27,K121,L121)</f>
        <v/>
      </c>
      <c r="N121" s="345" t="str">
        <f t="shared" si="9"/>
        <v/>
      </c>
      <c r="R121" s="42" t="s">
        <v>1261</v>
      </c>
      <c r="S121" s="42" t="s">
        <v>770</v>
      </c>
      <c r="T121" s="348" t="s">
        <v>1263</v>
      </c>
    </row>
    <row r="125" spans="11:37" ht="13.5" thickBot="1"/>
    <row r="126" spans="11:37" ht="15.75" thickBot="1">
      <c r="Z126" s="36">
        <f t="shared" ref="Z126:AC127" si="17">B2</f>
        <v>0</v>
      </c>
      <c r="AA126" s="37" t="str">
        <f t="shared" si="17"/>
        <v>p</v>
      </c>
      <c r="AB126" s="38" t="str">
        <f t="shared" si="17"/>
        <v>t</v>
      </c>
      <c r="AC126" s="39" t="str">
        <f t="shared" si="17"/>
        <v>k</v>
      </c>
      <c r="AD126" s="39" t="str">
        <f t="shared" ref="AD126:AG127" si="18">G2</f>
        <v>f</v>
      </c>
      <c r="AE126" s="38" t="str">
        <f t="shared" si="18"/>
        <v>s</v>
      </c>
      <c r="AF126" s="39" t="str">
        <f t="shared" si="18"/>
        <v>c</v>
      </c>
      <c r="AG126" s="39" t="str">
        <f t="shared" si="18"/>
        <v>x</v>
      </c>
      <c r="AH126" s="39" t="str">
        <f>L2</f>
        <v>n</v>
      </c>
      <c r="AI126" s="39" t="str">
        <f>M2</f>
        <v>y</v>
      </c>
      <c r="AJ126" s="39" t="str">
        <f>O2</f>
        <v>h</v>
      </c>
    </row>
    <row r="127" spans="11:37" ht="32.25" thickBot="1">
      <c r="Z127" s="326" t="str">
        <f t="shared" si="17"/>
        <v>a</v>
      </c>
      <c r="AA127" s="349" t="str">
        <f t="shared" si="17"/>
        <v>A</v>
      </c>
      <c r="AB127" s="349" t="str">
        <f t="shared" si="17"/>
        <v>K</v>
      </c>
      <c r="AC127" s="349" t="str">
        <f t="shared" si="17"/>
        <v>U</v>
      </c>
      <c r="AD127" s="349" t="str">
        <f t="shared" si="18"/>
        <v>^_</v>
      </c>
      <c r="AE127" s="349" t="str">
        <f t="shared" si="18"/>
        <v>i</v>
      </c>
      <c r="AF127" s="349" t="str">
        <f t="shared" si="18"/>
        <v>s</v>
      </c>
      <c r="AG127" s="349" t="str">
        <f t="shared" si="18"/>
        <v>}</v>
      </c>
      <c r="AH127" s="349" t="str">
        <f>L3</f>
        <v>©</v>
      </c>
      <c r="AI127" s="350" t="str">
        <f>M3</f>
        <v>´</v>
      </c>
      <c r="AJ127" s="349" t="str">
        <f>O3</f>
        <v>¾</v>
      </c>
      <c r="AK127" s="326" t="str">
        <f>Z127</f>
        <v>a</v>
      </c>
    </row>
    <row r="128" spans="11:37" ht="32.25" thickBot="1">
      <c r="Z128" s="326" t="str">
        <f>B5</f>
        <v>o</v>
      </c>
      <c r="AA128" s="349" t="str">
        <f>C5</f>
        <v>B</v>
      </c>
      <c r="AB128" s="349" t="str">
        <f>D5</f>
        <v>L</v>
      </c>
      <c r="AC128" s="349" t="str">
        <f>E5</f>
        <v>V</v>
      </c>
      <c r="AD128" s="349">
        <f>G5</f>
        <v>0</v>
      </c>
      <c r="AE128" s="349" t="str">
        <f>H5</f>
        <v>j</v>
      </c>
      <c r="AF128" s="349" t="str">
        <f>I5</f>
        <v>t</v>
      </c>
      <c r="AG128" s="349" t="str">
        <f>J5</f>
        <v>~</v>
      </c>
      <c r="AH128" s="349" t="str">
        <f>L5</f>
        <v>ª</v>
      </c>
      <c r="AI128" s="350" t="str">
        <f>M5</f>
        <v>µ</v>
      </c>
      <c r="AJ128" s="349" t="str">
        <f>O5</f>
        <v>¿</v>
      </c>
      <c r="AK128" s="326" t="str">
        <f t="shared" ref="AK128:AK136" si="19">Z128</f>
        <v>o</v>
      </c>
    </row>
    <row r="129" spans="26:37" ht="32.25" thickBot="1">
      <c r="Z129" s="326" t="str">
        <f>B7</f>
        <v>i</v>
      </c>
      <c r="AA129" s="349" t="str">
        <f>C7</f>
        <v>C</v>
      </c>
      <c r="AB129" s="349" t="str">
        <f>D7</f>
        <v>M</v>
      </c>
      <c r="AC129" s="349" t="str">
        <f>E7</f>
        <v>W</v>
      </c>
      <c r="AD129" s="349" t="str">
        <f>G7</f>
        <v>a</v>
      </c>
      <c r="AE129" s="349" t="str">
        <f>H7</f>
        <v>k</v>
      </c>
      <c r="AF129" s="349" t="str">
        <f>I7</f>
        <v>u</v>
      </c>
      <c r="AG129" s="349" t="str">
        <f>J7</f>
        <v>¡</v>
      </c>
      <c r="AH129" s="349" t="str">
        <f>L7</f>
        <v>«</v>
      </c>
      <c r="AI129" s="350" t="str">
        <f>M7</f>
        <v>¶</v>
      </c>
      <c r="AJ129" s="349" t="str">
        <f>O7</f>
        <v>À</v>
      </c>
      <c r="AK129" s="326" t="str">
        <f t="shared" si="19"/>
        <v>i</v>
      </c>
    </row>
    <row r="130" spans="26:37" ht="32.25" thickBot="1">
      <c r="Z130" s="326" t="str">
        <f>B9</f>
        <v>u</v>
      </c>
      <c r="AA130" s="349" t="str">
        <f>C9</f>
        <v>D</v>
      </c>
      <c r="AB130" s="349" t="str">
        <f>D9</f>
        <v>N</v>
      </c>
      <c r="AC130" s="349" t="str">
        <f>E9</f>
        <v>X</v>
      </c>
      <c r="AD130" s="349" t="str">
        <f>G9</f>
        <v>b</v>
      </c>
      <c r="AE130" s="349" t="str">
        <f>H9</f>
        <v>l</v>
      </c>
      <c r="AF130" s="349" t="str">
        <f>I9</f>
        <v>v</v>
      </c>
      <c r="AG130" s="349" t="str">
        <f>J9</f>
        <v>¢</v>
      </c>
      <c r="AH130" s="349" t="str">
        <f>L9</f>
        <v>¬</v>
      </c>
      <c r="AI130" s="350" t="str">
        <f>M9</f>
        <v>·</v>
      </c>
      <c r="AJ130" s="349" t="str">
        <f>O9</f>
        <v>Á</v>
      </c>
      <c r="AK130" s="326" t="str">
        <f t="shared" si="19"/>
        <v>u</v>
      </c>
    </row>
    <row r="131" spans="26:37" ht="32.25" thickBot="1">
      <c r="Z131" s="326" t="str">
        <f>B11</f>
        <v>e</v>
      </c>
      <c r="AA131" s="349" t="str">
        <f>C11</f>
        <v>E</v>
      </c>
      <c r="AB131" s="349" t="str">
        <f>D11</f>
        <v>O</v>
      </c>
      <c r="AC131" s="349" t="str">
        <f>E11</f>
        <v>Y</v>
      </c>
      <c r="AD131" s="349" t="str">
        <f>G11</f>
        <v>c</v>
      </c>
      <c r="AE131" s="349" t="str">
        <f>H11</f>
        <v>m</v>
      </c>
      <c r="AF131" s="349" t="str">
        <f>I11</f>
        <v>w</v>
      </c>
      <c r="AG131" s="349" t="str">
        <f>J11</f>
        <v>£</v>
      </c>
      <c r="AH131" s="349" t="str">
        <f>L11</f>
        <v>®</v>
      </c>
      <c r="AI131" s="350" t="str">
        <f>M11</f>
        <v>¸</v>
      </c>
      <c r="AJ131" s="349" t="str">
        <f>O11</f>
        <v>Â</v>
      </c>
      <c r="AK131" s="326" t="str">
        <f t="shared" si="19"/>
        <v>e</v>
      </c>
    </row>
    <row r="132" spans="26:37" ht="32.25" thickBot="1">
      <c r="Z132" s="326" t="str">
        <f>B15</f>
        <v>a</v>
      </c>
      <c r="AA132" s="349" t="str">
        <f>C15</f>
        <v>F</v>
      </c>
      <c r="AB132" s="349" t="str">
        <f>D15</f>
        <v>P</v>
      </c>
      <c r="AC132" s="349" t="str">
        <f>E15</f>
        <v>Z</v>
      </c>
      <c r="AD132" s="349" t="str">
        <f>G15</f>
        <v>d</v>
      </c>
      <c r="AE132" s="349" t="str">
        <f>H15</f>
        <v>n</v>
      </c>
      <c r="AF132" s="349" t="str">
        <f>I15</f>
        <v>x</v>
      </c>
      <c r="AG132" s="349" t="str">
        <f>J15</f>
        <v>¤</v>
      </c>
      <c r="AH132" s="349" t="str">
        <f>L15</f>
        <v>¯</v>
      </c>
      <c r="AI132" s="350" t="str">
        <f>M15</f>
        <v>¹</v>
      </c>
      <c r="AJ132" s="349" t="str">
        <f>O15</f>
        <v>Ã</v>
      </c>
      <c r="AK132" s="326" t="str">
        <f t="shared" si="19"/>
        <v>a</v>
      </c>
    </row>
    <row r="133" spans="26:37" ht="32.25" thickBot="1">
      <c r="Z133" s="326" t="str">
        <f>B17</f>
        <v>o</v>
      </c>
      <c r="AA133" s="349" t="str">
        <f>C17</f>
        <v>G</v>
      </c>
      <c r="AB133" s="349" t="str">
        <f>D17</f>
        <v>Q</v>
      </c>
      <c r="AC133" s="349" t="str">
        <f>E17</f>
        <v>[</v>
      </c>
      <c r="AD133" s="349" t="str">
        <f>G17</f>
        <v>e</v>
      </c>
      <c r="AE133" s="349" t="str">
        <f>H17</f>
        <v>o</v>
      </c>
      <c r="AF133" s="349" t="str">
        <f>I17</f>
        <v>y</v>
      </c>
      <c r="AG133" s="349" t="str">
        <f>J17</f>
        <v>¥</v>
      </c>
      <c r="AH133" s="349" t="str">
        <f>L17</f>
        <v>°</v>
      </c>
      <c r="AI133" s="350" t="str">
        <f>M17</f>
        <v>º</v>
      </c>
      <c r="AJ133" s="349" t="str">
        <f>O17</f>
        <v>Ä</v>
      </c>
      <c r="AK133" s="326" t="str">
        <f t="shared" si="19"/>
        <v>o</v>
      </c>
    </row>
    <row r="134" spans="26:37" ht="32.25" thickBot="1">
      <c r="Z134" s="326" t="str">
        <f>B19</f>
        <v>i</v>
      </c>
      <c r="AA134" s="349" t="str">
        <f>C19</f>
        <v>H</v>
      </c>
      <c r="AB134" s="349" t="str">
        <f>D19</f>
        <v>R</v>
      </c>
      <c r="AC134" s="349" t="str">
        <f>E19</f>
        <v>\</v>
      </c>
      <c r="AD134" s="349" t="str">
        <f>G19</f>
        <v>f</v>
      </c>
      <c r="AE134" s="349" t="str">
        <f>H19</f>
        <v>p</v>
      </c>
      <c r="AF134" s="349" t="str">
        <f>I19</f>
        <v>z</v>
      </c>
      <c r="AG134" s="349" t="str">
        <f>J19</f>
        <v>¦</v>
      </c>
      <c r="AH134" s="349" t="str">
        <f>L19</f>
        <v>±</v>
      </c>
      <c r="AI134" s="350" t="str">
        <f>M19</f>
        <v>»</v>
      </c>
      <c r="AJ134" s="351" t="str">
        <f>O19</f>
        <v>Å</v>
      </c>
      <c r="AK134" s="326" t="str">
        <f t="shared" si="19"/>
        <v>i</v>
      </c>
    </row>
    <row r="135" spans="26:37" ht="32.25" thickBot="1">
      <c r="Z135" s="326" t="str">
        <f>B21</f>
        <v>u</v>
      </c>
      <c r="AA135" s="349" t="str">
        <f>C21</f>
        <v>I</v>
      </c>
      <c r="AB135" s="349" t="str">
        <f>D21</f>
        <v>S</v>
      </c>
      <c r="AC135" s="349" t="str">
        <f>E21</f>
        <v>]</v>
      </c>
      <c r="AD135" s="349" t="str">
        <f>G21</f>
        <v>g</v>
      </c>
      <c r="AE135" s="349" t="str">
        <f>H21</f>
        <v>q</v>
      </c>
      <c r="AF135" s="349" t="str">
        <f>I21</f>
        <v>{</v>
      </c>
      <c r="AG135" s="349" t="str">
        <f>J21</f>
        <v>§</v>
      </c>
      <c r="AH135" s="349" t="str">
        <f>L21</f>
        <v>²</v>
      </c>
      <c r="AI135" s="350" t="str">
        <f>M21</f>
        <v>¼</v>
      </c>
      <c r="AJ135" s="349" t="str">
        <f>O21</f>
        <v>Æ</v>
      </c>
      <c r="AK135" s="326" t="str">
        <f t="shared" si="19"/>
        <v>u</v>
      </c>
    </row>
    <row r="136" spans="26:37" ht="32.25" thickBot="1">
      <c r="Z136" s="326" t="str">
        <f>B23</f>
        <v>e</v>
      </c>
      <c r="AA136" s="350" t="str">
        <f>C23</f>
        <v>J</v>
      </c>
      <c r="AB136" s="350" t="str">
        <f>D23</f>
        <v>T</v>
      </c>
      <c r="AC136" s="350">
        <f>E23</f>
        <v>0</v>
      </c>
      <c r="AD136" s="349" t="str">
        <f>G23</f>
        <v>h</v>
      </c>
      <c r="AE136" s="350" t="str">
        <f>H23</f>
        <v>r</v>
      </c>
      <c r="AF136" s="350" t="str">
        <f>I23</f>
        <v>|</v>
      </c>
      <c r="AG136" s="350" t="str">
        <f>J23</f>
        <v>¨</v>
      </c>
      <c r="AH136" s="349" t="str">
        <f>L23</f>
        <v>³</v>
      </c>
      <c r="AI136" s="350" t="str">
        <f>M23</f>
        <v>½</v>
      </c>
      <c r="AJ136" s="349" t="str">
        <f>O23</f>
        <v>Ç</v>
      </c>
      <c r="AK136" s="326" t="str">
        <f t="shared" si="19"/>
        <v>e</v>
      </c>
    </row>
    <row r="137" spans="26:37" ht="15.75" thickBot="1">
      <c r="Z137" s="40">
        <f>B14</f>
        <v>0</v>
      </c>
      <c r="AA137" s="39" t="str">
        <f>C14</f>
        <v>b</v>
      </c>
      <c r="AB137" s="38" t="str">
        <f>D14</f>
        <v>d</v>
      </c>
      <c r="AC137" s="39" t="str">
        <f>E14</f>
        <v>g</v>
      </c>
      <c r="AD137" s="39" t="str">
        <f>G14</f>
        <v>v</v>
      </c>
      <c r="AE137" s="39" t="str">
        <f>H14</f>
        <v>z</v>
      </c>
      <c r="AF137" s="38" t="str">
        <f>I14</f>
        <v>j</v>
      </c>
      <c r="AG137" s="39" t="str">
        <f>J14</f>
        <v>r</v>
      </c>
      <c r="AH137" s="39" t="str">
        <f>L14</f>
        <v>m</v>
      </c>
      <c r="AI137" s="39" t="str">
        <f>M14</f>
        <v>w</v>
      </c>
      <c r="AJ137" s="39" t="str">
        <f>O14</f>
        <v>l</v>
      </c>
    </row>
  </sheetData>
  <mergeCells count="12">
    <mergeCell ref="B27:E40"/>
    <mergeCell ref="G27:I40"/>
    <mergeCell ref="B15:B16"/>
    <mergeCell ref="B17:B18"/>
    <mergeCell ref="B19:B20"/>
    <mergeCell ref="B21:B22"/>
    <mergeCell ref="B23:B24"/>
    <mergeCell ref="B3:B4"/>
    <mergeCell ref="B5:B6"/>
    <mergeCell ref="B7:B8"/>
    <mergeCell ref="B9:B10"/>
    <mergeCell ref="B11:B12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B2:C31"/>
  <sheetViews>
    <sheetView workbookViewId="0">
      <selection activeCell="G32" sqref="G32"/>
    </sheetView>
  </sheetViews>
  <sheetFormatPr defaultRowHeight="18.75"/>
  <cols>
    <col min="1" max="1" width="9.140625" style="274"/>
    <col min="2" max="2" width="6.85546875" style="274" customWidth="1"/>
    <col min="3" max="3" width="9.42578125" style="275" bestFit="1" customWidth="1"/>
    <col min="4" max="16384" width="9.140625" style="274"/>
  </cols>
  <sheetData>
    <row r="2" spans="2:3">
      <c r="B2" s="274" t="s">
        <v>1111</v>
      </c>
    </row>
    <row r="3" spans="2:3">
      <c r="C3" s="275" t="str">
        <f>Me&amp;Group.&amp;Thing.&amp;" "&amp;Show&amp;Space&amp;Me&amp;"!"</f>
        <v>nayn milana!</v>
      </c>
    </row>
    <row r="4" spans="2:3" ht="18">
      <c r="C4" s="304" t="str">
        <f>C3</f>
        <v>nayn milana!</v>
      </c>
    </row>
    <row r="6" spans="2:3">
      <c r="B6" s="274" t="s">
        <v>393</v>
      </c>
    </row>
    <row r="7" spans="2:3">
      <c r="C7" s="275" t="str">
        <f>You&amp;Group.&amp;Thing.&amp;" "&amp;Power&amp;Time.&amp;" "&amp;Self&amp;Trend.&amp;Space&amp;Action.&amp;" "&amp;Neutrality&amp;Space</f>
        <v>mayn rol waslar jila</v>
      </c>
    </row>
    <row r="8" spans="2:3" ht="18">
      <c r="C8" s="304" t="str">
        <f>C7</f>
        <v>mayn rol waslar jila</v>
      </c>
    </row>
    <row r="9" spans="2:3">
      <c r="B9" s="274" t="s">
        <v>392</v>
      </c>
    </row>
    <row r="10" spans="2:3">
      <c r="C10" s="275" t="str">
        <f>You&amp;Group.&amp;Thing.&amp;" "&amp;Power&amp;Time.&amp;" "&amp;Self&amp;Trend.&amp;Space&amp;Action.&amp;" "&amp;Relation&amp;Space&amp;" "&amp;"("&amp;You&amp;Group.&amp;Thing.&amp;")"&amp;" "&amp;Will&amp;Time.</f>
        <v>mayn rol waslar gila (mayn) zel</v>
      </c>
    </row>
    <row r="11" spans="2:3" ht="18">
      <c r="C11" s="304" t="str">
        <f>C10</f>
        <v>mayn rol waslar gila (mayn) zel</v>
      </c>
    </row>
    <row r="12" spans="2:3">
      <c r="B12" s="274" t="s">
        <v>394</v>
      </c>
    </row>
    <row r="13" spans="2:3">
      <c r="C13" s="275" t="str">
        <f>You&amp;Group.&amp;Thing.&amp;" "&amp;Power&amp;Time.&amp;" "&amp;Self&amp;Trend.&amp;Space&amp;Action.&amp;" "&amp;Whole&amp;Space</f>
        <v>mayn rol waslar wila</v>
      </c>
    </row>
    <row r="14" spans="2:3" ht="18">
      <c r="C14" s="304" t="str">
        <f>C13</f>
        <v>mayn rol waslar wila</v>
      </c>
    </row>
    <row r="16" spans="2:3">
      <c r="B16" s="274" t="s">
        <v>391</v>
      </c>
    </row>
    <row r="17" spans="2:3">
      <c r="C17" s="275" t="str">
        <f>Question&amp;Space&amp;" "&amp;Show&amp;Female&amp;Group&amp;Thing.&amp;"?"</f>
        <v>xila miziyen?</v>
      </c>
    </row>
    <row r="18" spans="2:3" ht="18">
      <c r="C18" s="304" t="str">
        <f>C17</f>
        <v>xila miziyen?</v>
      </c>
    </row>
    <row r="20" spans="2:3">
      <c r="B20" s="274" t="s">
        <v>390</v>
      </c>
    </row>
    <row r="21" spans="2:3">
      <c r="C21" s="275" t="str">
        <f>Trend.&amp;Belong&amp;Action.&amp;" "&amp;Existence&amp;Thing&amp;JOKER.&amp;" "&amp;Trend&amp;JOKER.&amp;" "&amp;Existence&amp;Human</f>
        <v>ster dineh seh dizu</v>
      </c>
    </row>
    <row r="22" spans="2:3" ht="18">
      <c r="C22" s="304" t="str">
        <f>C21</f>
        <v>ster dineh seh dizu</v>
      </c>
    </row>
    <row r="24" spans="2:3">
      <c r="B24" s="274" t="s">
        <v>929</v>
      </c>
    </row>
    <row r="25" spans="2:3">
      <c r="C25" s="275" t="str">
        <f>Me&amp;Thing.&amp;" "&amp;Self&amp;Trend&amp;Past.</f>
        <v>nan wasec</v>
      </c>
    </row>
    <row r="26" spans="2:3" ht="18">
      <c r="C26" s="304" t="str">
        <f>C25</f>
        <v>nan wasec</v>
      </c>
    </row>
    <row r="28" spans="2:3">
      <c r="B28" s="274" t="s">
        <v>1015</v>
      </c>
    </row>
    <row r="29" spans="2:3">
      <c r="C29" s="275" t="str">
        <f>Action&amp;Trend.&amp;Inside&amp;Thing.&amp;" "&amp;Trend&amp;" "&amp;Manner&amp;Trend.&amp;Belong&amp;Information&amp;Thing.&amp;" "&amp;JOKER&amp;"laramin"</f>
        <v>resnon se vestepen helaramin</v>
      </c>
    </row>
    <row r="30" spans="2:3" ht="18">
      <c r="C30" s="304" t="str">
        <f>C29</f>
        <v>resnon se vestepen helaramin</v>
      </c>
    </row>
    <row r="31" spans="2:3" ht="19.5">
      <c r="C31" s="353" t="s">
        <v>1270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</sheetPr>
  <dimension ref="A3:AD17"/>
  <sheetViews>
    <sheetView showGridLines="0" zoomScaleNormal="100" workbookViewId="0">
      <selection activeCell="T11" sqref="T11"/>
    </sheetView>
  </sheetViews>
  <sheetFormatPr defaultRowHeight="12.75"/>
  <cols>
    <col min="1" max="1" width="6" customWidth="1"/>
    <col min="2" max="2" width="7.28515625" customWidth="1"/>
    <col min="3" max="3" width="2" customWidth="1"/>
    <col min="5" max="5" width="1.5703125" customWidth="1"/>
    <col min="7" max="7" width="1.85546875" customWidth="1"/>
    <col min="9" max="9" width="2.140625" customWidth="1"/>
    <col min="11" max="11" width="2.140625" customWidth="1"/>
    <col min="12" max="12" width="12.85546875" customWidth="1"/>
    <col min="13" max="13" width="2.5703125" customWidth="1"/>
    <col min="14" max="14" width="5.7109375" customWidth="1"/>
    <col min="15" max="15" width="2.5703125" customWidth="1"/>
    <col min="17" max="17" width="2.7109375" customWidth="1"/>
    <col min="18" max="18" width="5.140625" customWidth="1"/>
    <col min="19" max="19" width="2.42578125" customWidth="1"/>
    <col min="20" max="20" width="8.140625" customWidth="1"/>
    <col min="21" max="21" width="2.42578125" customWidth="1"/>
    <col min="22" max="22" width="13" customWidth="1"/>
    <col min="23" max="23" width="2.42578125" customWidth="1"/>
    <col min="24" max="24" width="8.28515625" customWidth="1"/>
    <col min="25" max="25" width="2.42578125" customWidth="1"/>
    <col min="27" max="27" width="2.7109375" customWidth="1"/>
    <col min="28" max="28" width="11.85546875" customWidth="1"/>
    <col min="29" max="29" width="2.85546875" customWidth="1"/>
  </cols>
  <sheetData>
    <row r="3" spans="1:30">
      <c r="A3" s="175"/>
      <c r="B3" s="42"/>
      <c r="C3" s="42" t="s">
        <v>1100</v>
      </c>
      <c r="D3" s="42" t="s">
        <v>1101</v>
      </c>
      <c r="E3" s="42" t="s">
        <v>770</v>
      </c>
      <c r="F3" s="42" t="s">
        <v>1103</v>
      </c>
      <c r="H3" s="42" t="s">
        <v>1102</v>
      </c>
      <c r="I3" s="42" t="s">
        <v>770</v>
      </c>
      <c r="J3" s="42" t="s">
        <v>1109</v>
      </c>
      <c r="K3" s="42" t="s">
        <v>1104</v>
      </c>
    </row>
    <row r="4" spans="1:30" s="294" customFormat="1">
      <c r="A4" s="303"/>
      <c r="B4" s="302"/>
      <c r="C4" s="302" t="s">
        <v>1100</v>
      </c>
      <c r="D4" s="302" t="str">
        <f>Action&amp;Trend.&amp;Belong&amp;Information&amp;Thing.</f>
        <v>restepen</v>
      </c>
      <c r="E4" s="302" t="s">
        <v>770</v>
      </c>
      <c r="F4" s="302" t="str">
        <f>Value&amp;Whole&amp;Property.</f>
        <v>buwif</v>
      </c>
      <c r="G4" s="302" t="s">
        <v>770</v>
      </c>
      <c r="H4" s="302" t="str">
        <f>Power&amp;Law&amp;Group.&amp;Belong.</f>
        <v>roxayt</v>
      </c>
      <c r="I4" s="302" t="s">
        <v>770</v>
      </c>
      <c r="J4" s="302" t="str">
        <f>Whole&amp;Human&amp;Belong.</f>
        <v>wizut</v>
      </c>
      <c r="K4" s="302" t="s">
        <v>1104</v>
      </c>
      <c r="L4" s="302" t="s">
        <v>770</v>
      </c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294" t="str">
        <f>CONCATENATE(B4,C4,D4,E4,F4,G4,H4,I4,J4,K4,L4,M4,N4,O4,P4,Q4,R4,S4,T4,U4,V4,W4,X4,Y4,Z4,AA4,AB4,AC4)</f>
        <v xml:space="preserve">&lt;restepen buwif roxayt wizut&gt; </v>
      </c>
    </row>
    <row r="5" spans="1:30" ht="11.25" customHeight="1"/>
    <row r="6" spans="1:30">
      <c r="A6" s="175"/>
      <c r="B6" s="42" t="s">
        <v>1080</v>
      </c>
      <c r="C6" s="42" t="s">
        <v>770</v>
      </c>
      <c r="D6" s="42" t="s">
        <v>1082</v>
      </c>
      <c r="F6" s="42" t="s">
        <v>1081</v>
      </c>
      <c r="H6" s="42" t="s">
        <v>920</v>
      </c>
      <c r="J6" s="42"/>
      <c r="L6" s="42" t="s">
        <v>1264</v>
      </c>
      <c r="M6" s="42" t="s">
        <v>770</v>
      </c>
      <c r="N6" s="84"/>
      <c r="O6" s="42"/>
      <c r="P6" s="42" t="s">
        <v>1265</v>
      </c>
      <c r="R6" s="42"/>
      <c r="S6" s="42" t="s">
        <v>1107</v>
      </c>
      <c r="T6" s="42" t="s">
        <v>1084</v>
      </c>
      <c r="U6" s="42"/>
      <c r="V6" s="42" t="s">
        <v>1267</v>
      </c>
      <c r="X6" s="42" t="s">
        <v>1268</v>
      </c>
      <c r="Z6" s="42" t="s">
        <v>503</v>
      </c>
      <c r="AA6" s="42" t="s">
        <v>770</v>
      </c>
      <c r="AB6" s="42" t="s">
        <v>1266</v>
      </c>
      <c r="AC6" s="42" t="s">
        <v>1085</v>
      </c>
    </row>
    <row r="7" spans="1:30" s="294" customFormat="1">
      <c r="A7" s="303"/>
      <c r="B7" s="302" t="str">
        <f>'Correl Conjug'!N6</f>
        <v>wi</v>
      </c>
      <c r="C7" s="302" t="s">
        <v>770</v>
      </c>
      <c r="D7" s="302" t="str">
        <f>Human&amp;Group.&amp;Thing.</f>
        <v>zuyn</v>
      </c>
      <c r="E7" s="302" t="s">
        <v>770</v>
      </c>
      <c r="F7" s="302" t="str">
        <f>Objet&amp;Trend&amp;Life&amp;Past.</f>
        <v>mesezoc</v>
      </c>
      <c r="G7" s="302" t="s">
        <v>770</v>
      </c>
      <c r="H7" s="302" t="str">
        <f>Power&amp;Group.&amp;Property.</f>
        <v>royf</v>
      </c>
      <c r="I7" s="302" t="s">
        <v>770</v>
      </c>
      <c r="J7" s="302"/>
      <c r="K7" s="302"/>
      <c r="L7" s="302" t="str">
        <f>Equality&amp;Value&amp;Origin&amp;Thing&amp;Group.&amp;Property.</f>
        <v>nubutuneyf</v>
      </c>
      <c r="M7" s="302" t="s">
        <v>770</v>
      </c>
      <c r="N7" s="352"/>
      <c r="O7" s="302"/>
      <c r="P7" s="302" t="str">
        <f>Equality&amp;Power&amp;Law&amp;Group.&amp;Property.</f>
        <v>nuroxayf</v>
      </c>
      <c r="Q7" s="302"/>
      <c r="R7" s="302"/>
      <c r="S7" s="302" t="s">
        <v>1083</v>
      </c>
      <c r="T7" s="302" t="str">
        <f>Show&amp;Human&amp;Group.&amp;Thing.</f>
        <v>mizuyn</v>
      </c>
      <c r="U7" s="302" t="s">
        <v>770</v>
      </c>
      <c r="V7" s="302" t="str">
        <f>Objet&amp;Trend.&amp;Property&amp;Past&amp;Group.&amp;Property.</f>
        <v>mesfeceyf</v>
      </c>
      <c r="W7" s="302" t="s">
        <v>770</v>
      </c>
      <c r="X7" s="302" t="str">
        <f>Quality&amp;Mind&amp;Objet.</f>
        <v>fucam</v>
      </c>
      <c r="Y7" s="302" t="s">
        <v>770</v>
      </c>
      <c r="Z7" s="302" t="str">
        <f>Combination</f>
        <v>so</v>
      </c>
      <c r="AA7" s="302" t="s">
        <v>770</v>
      </c>
      <c r="AB7" s="302" t="str">
        <f>Quality&amp;Self&amp;Mind&amp;Objet.</f>
        <v>fuwacam</v>
      </c>
      <c r="AC7" s="302" t="s">
        <v>1085</v>
      </c>
      <c r="AD7" s="294" t="str">
        <f>CONCATENATE(B7,C7,D7,E7,F7,G7,H7,I7,J7,K7,L7,M7,N7,O7,P7,Q7,R7,S7,T7,U7,V7,W7,X7,Y7,Z7,AA7,AB7,AC7)</f>
        <v xml:space="preserve">wi zuyn mesezoc royf nubutuneyf nuroxayf. mizuyn mesfeceyf fucam so fuwacam, </v>
      </c>
    </row>
    <row r="9" spans="1:30">
      <c r="A9" s="175"/>
      <c r="B9" s="42" t="s">
        <v>503</v>
      </c>
      <c r="C9" s="42" t="s">
        <v>770</v>
      </c>
      <c r="D9" s="42" t="s">
        <v>1086</v>
      </c>
      <c r="E9" s="42" t="s">
        <v>770</v>
      </c>
      <c r="F9" s="42" t="s">
        <v>1087</v>
      </c>
      <c r="H9" s="42" t="s">
        <v>1105</v>
      </c>
      <c r="I9" s="42" t="s">
        <v>770</v>
      </c>
      <c r="J9" s="42" t="s">
        <v>1108</v>
      </c>
      <c r="K9" s="42" t="s">
        <v>770</v>
      </c>
      <c r="L9" s="42" t="s">
        <v>1106</v>
      </c>
      <c r="N9" s="42"/>
      <c r="O9" s="42"/>
      <c r="P9" s="42"/>
      <c r="Q9" s="42"/>
      <c r="R9" s="42"/>
      <c r="T9" s="42"/>
      <c r="U9" s="42"/>
      <c r="V9" s="42"/>
      <c r="W9" s="42"/>
      <c r="X9" s="42"/>
      <c r="Z9" s="42"/>
      <c r="AB9" s="42"/>
    </row>
    <row r="10" spans="1:30" s="294" customFormat="1">
      <c r="A10" s="303"/>
      <c r="B10" s="302" t="str">
        <f>Combination</f>
        <v>so</v>
      </c>
      <c r="C10" s="302" t="s">
        <v>770</v>
      </c>
      <c r="D10" s="302" t="str">
        <f>Inversion&amp;Power&amp;Time.</f>
        <v>parol</v>
      </c>
      <c r="E10" s="302" t="s">
        <v>770</v>
      </c>
      <c r="F10" s="302" t="str">
        <f>Action&amp;Action.</f>
        <v>rer</v>
      </c>
      <c r="G10" s="302" t="s">
        <v>770</v>
      </c>
      <c r="H10" s="302" t="str">
        <f>Trend</f>
        <v>se</v>
      </c>
      <c r="I10" s="302" t="s">
        <v>770</v>
      </c>
      <c r="J10" s="302" t="str">
        <f>Reciprocal&amp;Thing.</f>
        <v>yan</v>
      </c>
      <c r="K10" s="302" t="s">
        <v>770</v>
      </c>
      <c r="L10" s="302" t="str">
        <f>Human&amp;Equality&amp;Origin&amp;Life&amp;Manner.</f>
        <v>zunutuzov</v>
      </c>
      <c r="M10" s="302" t="s">
        <v>1107</v>
      </c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294" t="str">
        <f>CONCATENATE(B10,C10,D10,E10,F10,G10,H10,I10,J10,K10,L10,M10,N10,O10,P10,Q10,R10,S10,T10,U10,V10,W10,X10,Y10,Z10,AA10,AB10,AC10)</f>
        <v>so parol rer se yan zunutuzov.</v>
      </c>
    </row>
    <row r="12" spans="1:30" ht="13.5" thickBot="1">
      <c r="B12" t="s">
        <v>1118</v>
      </c>
      <c r="P12" t="s">
        <v>1116</v>
      </c>
    </row>
    <row r="13" spans="1:30" s="301" customFormat="1" ht="105.75" customHeight="1" thickBot="1">
      <c r="B13" s="391" t="str">
        <f>CONCATENATE(AD4,AD7,AD10)</f>
        <v>&lt;restepen buwif roxayt wizut&gt; wi zuyn mesezoc royf nubutuneyf nuroxayf. mizuyn mesfeceyf fucam so fuwacam, so parol rer se yan zunutuzov.</v>
      </c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3"/>
      <c r="O13" s="300"/>
      <c r="P13" s="394" t="str">
        <f>B13</f>
        <v>&lt;restepen buwif roxayt wizut&gt; wi zuyn mesezoc royf nubutuneyf nuroxayf. mizuyn mesfeceyf fucam so fuwacam, so parol rer se yan zunutuzov.</v>
      </c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6"/>
    </row>
    <row r="14" spans="1:30" ht="11.25" customHeight="1" thickBot="1">
      <c r="B14" t="s">
        <v>1262</v>
      </c>
      <c r="P14" t="s">
        <v>1117</v>
      </c>
    </row>
    <row r="15" spans="1:30" ht="80.25" customHeight="1" thickBot="1">
      <c r="B15" s="400" t="str">
        <f>Larasem!G27</f>
        <v>&lt;¨mOE®/I»c/¥}¸O/»qO&gt;/»/q¸®/³mow/¥¸c/¬IN®¸c/¬¥}¸c./±q¸®/³mcw¸c/bs³/j/b¹s³,/j/A¥Ç/¨¨/m/´®/q¬Noh.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2"/>
      <c r="P15" s="397" t="str">
        <f>P13</f>
        <v>&lt;restepen buwif roxayt wizut&gt; wi zuyn mesezoc royf nubutuneyf nuroxayf. mizuyn mesfeceyf fucam so fuwacam, so parol rer se yan zunutuzov.</v>
      </c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9"/>
    </row>
    <row r="16" spans="1:30" ht="13.5" thickBot="1">
      <c r="P16" s="42" t="s">
        <v>1272</v>
      </c>
    </row>
    <row r="17" spans="16:28" ht="101.25" customHeight="1" thickBot="1">
      <c r="P17" s="403" t="str">
        <f>P15</f>
        <v>&lt;restepen buwif roxayt wizut&gt; wi zuyn mesezoc royf nubutuneyf nuroxayf. mizuyn mesfeceyf fucam so fuwacam, so parol rer se yan zunutuzov.</v>
      </c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5"/>
    </row>
  </sheetData>
  <mergeCells count="5">
    <mergeCell ref="B13:N13"/>
    <mergeCell ref="P13:AB13"/>
    <mergeCell ref="P15:AB15"/>
    <mergeCell ref="B15:N15"/>
    <mergeCell ref="P17:A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84</vt:i4>
      </vt:variant>
    </vt:vector>
  </HeadingPairs>
  <TitlesOfParts>
    <vt:vector size="96" baseType="lpstr">
      <vt:lpstr>Intro</vt:lpstr>
      <vt:lpstr>Radicals</vt:lpstr>
      <vt:lpstr>Words</vt:lpstr>
      <vt:lpstr>Lexitree</vt:lpstr>
      <vt:lpstr>Correl Conjug</vt:lpstr>
      <vt:lpstr>Numbers</vt:lpstr>
      <vt:lpstr>Larasem</vt:lpstr>
      <vt:lpstr>Sentences</vt:lpstr>
      <vt:lpstr>Text</vt:lpstr>
      <vt:lpstr>Performance</vt:lpstr>
      <vt:lpstr>Tables</vt:lpstr>
      <vt:lpstr>Esperanto</vt:lpstr>
      <vt:lpstr>Action</vt:lpstr>
      <vt:lpstr>Action.</vt:lpstr>
      <vt:lpstr>Author</vt:lpstr>
      <vt:lpstr>Belong</vt:lpstr>
      <vt:lpstr>Belong.</vt:lpstr>
      <vt:lpstr>Body</vt:lpstr>
      <vt:lpstr>Call</vt:lpstr>
      <vt:lpstr>Choice</vt:lpstr>
      <vt:lpstr>Combination</vt:lpstr>
      <vt:lpstr>Condition</vt:lpstr>
      <vt:lpstr>Condition.</vt:lpstr>
      <vt:lpstr>Connection</vt:lpstr>
      <vt:lpstr>Contribution</vt:lpstr>
      <vt:lpstr>Cosmos</vt:lpstr>
      <vt:lpstr>Cross</vt:lpstr>
      <vt:lpstr>Cycle</vt:lpstr>
      <vt:lpstr>Electricity</vt:lpstr>
      <vt:lpstr>Element</vt:lpstr>
      <vt:lpstr>Element.</vt:lpstr>
      <vt:lpstr>Equality</vt:lpstr>
      <vt:lpstr>Existence</vt:lpstr>
      <vt:lpstr>Female</vt:lpstr>
      <vt:lpstr>Gas</vt:lpstr>
      <vt:lpstr>Good</vt:lpstr>
      <vt:lpstr>Group</vt:lpstr>
      <vt:lpstr>Group.</vt:lpstr>
      <vt:lpstr>Heart</vt:lpstr>
      <vt:lpstr>Human</vt:lpstr>
      <vt:lpstr>Hypothese</vt:lpstr>
      <vt:lpstr>Hypothese.</vt:lpstr>
      <vt:lpstr>Information</vt:lpstr>
      <vt:lpstr>Inside</vt:lpstr>
      <vt:lpstr>Inversion</vt:lpstr>
      <vt:lpstr>JOKER</vt:lpstr>
      <vt:lpstr>JOKER.</vt:lpstr>
      <vt:lpstr>Joker_Initial</vt:lpstr>
      <vt:lpstr>Law</vt:lpstr>
      <vt:lpstr>Life</vt:lpstr>
      <vt:lpstr>Light</vt:lpstr>
      <vt:lpstr>Liquid</vt:lpstr>
      <vt:lpstr>Magnitude</vt:lpstr>
      <vt:lpstr>Manner</vt:lpstr>
      <vt:lpstr>Manner.</vt:lpstr>
      <vt:lpstr>Me</vt:lpstr>
      <vt:lpstr>Mind</vt:lpstr>
      <vt:lpstr>More</vt:lpstr>
      <vt:lpstr>Negation</vt:lpstr>
      <vt:lpstr>Neutrality</vt:lpstr>
      <vt:lpstr>New</vt:lpstr>
      <vt:lpstr>Objet</vt:lpstr>
      <vt:lpstr>Objet.</vt:lpstr>
      <vt:lpstr>Origin</vt:lpstr>
      <vt:lpstr>pa</vt:lpstr>
      <vt:lpstr>Past</vt:lpstr>
      <vt:lpstr>Past.</vt:lpstr>
      <vt:lpstr>Power</vt:lpstr>
      <vt:lpstr>Property</vt:lpstr>
      <vt:lpstr>Property.</vt:lpstr>
      <vt:lpstr>Proximity</vt:lpstr>
      <vt:lpstr>Quality</vt:lpstr>
      <vt:lpstr>Quantity</vt:lpstr>
      <vt:lpstr>Question</vt:lpstr>
      <vt:lpstr>Reciprocal</vt:lpstr>
      <vt:lpstr>Relation</vt:lpstr>
      <vt:lpstr>Satisfaction</vt:lpstr>
      <vt:lpstr>Self</vt:lpstr>
      <vt:lpstr>Show</vt:lpstr>
      <vt:lpstr>Solid</vt:lpstr>
      <vt:lpstr>Sound</vt:lpstr>
      <vt:lpstr>Space</vt:lpstr>
      <vt:lpstr>Thing</vt:lpstr>
      <vt:lpstr>Thing.</vt:lpstr>
      <vt:lpstr>Time</vt:lpstr>
      <vt:lpstr>Time.</vt:lpstr>
      <vt:lpstr>Tool</vt:lpstr>
      <vt:lpstr>Tool.</vt:lpstr>
      <vt:lpstr>Transcendance</vt:lpstr>
      <vt:lpstr>Trend</vt:lpstr>
      <vt:lpstr>Trend.</vt:lpstr>
      <vt:lpstr>Value</vt:lpstr>
      <vt:lpstr>Whole</vt:lpstr>
      <vt:lpstr>Will</vt:lpstr>
      <vt:lpstr>Will.</vt:lpstr>
      <vt:lpstr>You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Setzer Gabbiani</dc:creator>
  <cp:lastModifiedBy>Matthieu</cp:lastModifiedBy>
  <dcterms:created xsi:type="dcterms:W3CDTF">2007-05-22T00:35:46Z</dcterms:created>
  <dcterms:modified xsi:type="dcterms:W3CDTF">2015-05-24T11:53:09Z</dcterms:modified>
</cp:coreProperties>
</file>